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D:\แบงก์-ล่าสุด\30ก.ย.66\"/>
    </mc:Choice>
  </mc:AlternateContent>
  <xr:revisionPtr revIDLastSave="0" documentId="13_ncr:1_{D725E9CC-212E-4DBE-9857-800AC6764B3A}" xr6:coauthVersionLast="37" xr6:coauthVersionMax="37" xr10:uidLastSave="{00000000-0000-0000-0000-000000000000}"/>
  <bookViews>
    <workbookView xWindow="0" yWindow="0" windowWidth="24000" windowHeight="9525" firstSheet="12" activeTab="21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8" r:id="rId17"/>
    <sheet name="สระแก้ว" sheetId="19" r:id="rId18"/>
    <sheet name="สระบุรี" sheetId="20" r:id="rId19"/>
    <sheet name="สิงห์บุรี" sheetId="21" r:id="rId20"/>
    <sheet name="สุพรรณบุรี" sheetId="22" r:id="rId21"/>
    <sheet name="อ่างทอง" sheetId="23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ชลบุรี!$A$1:$P$2828</definedName>
    <definedName name="_xlnm.Print_Area" localSheetId="5">ชัยนาท!$A$1:$P$1828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L22" i="23" l="1"/>
  <c r="M22" i="23"/>
  <c r="N22" i="23"/>
  <c r="L25" i="23"/>
  <c r="L15" i="23" s="1"/>
  <c r="M25" i="23"/>
  <c r="N25" i="23"/>
  <c r="O25" i="23"/>
  <c r="P25" i="23"/>
  <c r="L32" i="23"/>
  <c r="O32" i="23" s="1"/>
  <c r="M32" i="23"/>
  <c r="N32" i="23"/>
  <c r="P32" i="23"/>
  <c r="L35" i="23"/>
  <c r="L29" i="23" s="1"/>
  <c r="M35" i="23"/>
  <c r="M15" i="23" s="1"/>
  <c r="N35" i="23"/>
  <c r="N15" i="23" s="1"/>
  <c r="M36" i="23"/>
  <c r="P36" i="23" s="1"/>
  <c r="N36" i="23"/>
  <c r="L42" i="23"/>
  <c r="M42" i="23"/>
  <c r="P42" i="23" s="1"/>
  <c r="N42" i="23"/>
  <c r="O45" i="23"/>
  <c r="P45" i="23"/>
  <c r="L46" i="23"/>
  <c r="M46" i="23"/>
  <c r="M43" i="23" s="1"/>
  <c r="N46" i="23"/>
  <c r="O48" i="23"/>
  <c r="P48" i="23"/>
  <c r="L49" i="23"/>
  <c r="L47" i="23" s="1"/>
  <c r="O47" i="23" s="1"/>
  <c r="M49" i="23"/>
  <c r="M47" i="23" s="1"/>
  <c r="P47" i="23" s="1"/>
  <c r="N49" i="23"/>
  <c r="N47" i="23" s="1"/>
  <c r="L54" i="23"/>
  <c r="O54" i="23" s="1"/>
  <c r="M54" i="23"/>
  <c r="N54" i="23"/>
  <c r="O57" i="23"/>
  <c r="P57" i="23"/>
  <c r="L58" i="23"/>
  <c r="M58" i="23"/>
  <c r="M56" i="23" s="1"/>
  <c r="N58" i="23"/>
  <c r="O60" i="23"/>
  <c r="P60" i="23"/>
  <c r="L61" i="23"/>
  <c r="L59" i="23" s="1"/>
  <c r="O59" i="23" s="1"/>
  <c r="M61" i="23"/>
  <c r="M59" i="23" s="1"/>
  <c r="P59" i="23" s="1"/>
  <c r="N61" i="23"/>
  <c r="N59" i="23" s="1"/>
  <c r="L67" i="23"/>
  <c r="M67" i="23"/>
  <c r="N67" i="23"/>
  <c r="P67" i="23"/>
  <c r="O70" i="23"/>
  <c r="P70" i="23"/>
  <c r="L71" i="23"/>
  <c r="L69" i="23" s="1"/>
  <c r="O69" i="23" s="1"/>
  <c r="M71" i="23"/>
  <c r="M69" i="23" s="1"/>
  <c r="P69" i="23" s="1"/>
  <c r="N71" i="23"/>
  <c r="O73" i="23"/>
  <c r="P73" i="23"/>
  <c r="L74" i="23"/>
  <c r="O74" i="23" s="1"/>
  <c r="M74" i="23"/>
  <c r="P74" i="23" s="1"/>
  <c r="N74" i="23"/>
  <c r="N72" i="23" s="1"/>
  <c r="J76" i="23"/>
  <c r="J64" i="23" s="1"/>
  <c r="J77" i="23"/>
  <c r="J65" i="23" s="1"/>
  <c r="I78" i="23"/>
  <c r="K78" i="23" s="1"/>
  <c r="I79" i="23"/>
  <c r="I80" i="23"/>
  <c r="K80" i="23" s="1"/>
  <c r="I81" i="23"/>
  <c r="K81" i="23" s="1"/>
  <c r="I82" i="23"/>
  <c r="K82" i="23" s="1"/>
  <c r="I83" i="23"/>
  <c r="K83" i="23" s="1"/>
  <c r="I84" i="23"/>
  <c r="K84" i="23" s="1"/>
  <c r="L89" i="23"/>
  <c r="M89" i="23"/>
  <c r="N89" i="23"/>
  <c r="O92" i="23"/>
  <c r="P92" i="23"/>
  <c r="L93" i="23"/>
  <c r="M93" i="23"/>
  <c r="M91" i="23" s="1"/>
  <c r="N93" i="23"/>
  <c r="O95" i="23"/>
  <c r="P95" i="23"/>
  <c r="L96" i="23"/>
  <c r="M96" i="23"/>
  <c r="P96" i="23" s="1"/>
  <c r="N96" i="23"/>
  <c r="N94" i="23" s="1"/>
  <c r="I98" i="23"/>
  <c r="I86" i="23" s="1"/>
  <c r="K86" i="23" s="1"/>
  <c r="J98" i="23"/>
  <c r="J86" i="23" s="1"/>
  <c r="I99" i="23"/>
  <c r="K99" i="23" s="1"/>
  <c r="J99" i="23"/>
  <c r="J87" i="23" s="1"/>
  <c r="I100" i="23"/>
  <c r="J100" i="23"/>
  <c r="I102" i="23"/>
  <c r="K102" i="23" s="1"/>
  <c r="I103" i="23"/>
  <c r="K103" i="23" s="1"/>
  <c r="I104" i="23"/>
  <c r="K104" i="23" s="1"/>
  <c r="I106" i="23"/>
  <c r="K106" i="23" s="1"/>
  <c r="I107" i="23"/>
  <c r="K107" i="23" s="1"/>
  <c r="I109" i="23"/>
  <c r="K109" i="23" s="1"/>
  <c r="I110" i="23"/>
  <c r="K110" i="23" s="1"/>
  <c r="I111" i="23"/>
  <c r="K111" i="23" s="1"/>
  <c r="J111" i="23"/>
  <c r="J112" i="23"/>
  <c r="I113" i="23"/>
  <c r="K113" i="23" s="1"/>
  <c r="I114" i="23"/>
  <c r="K114" i="23" s="1"/>
  <c r="I115" i="23"/>
  <c r="K115" i="23" s="1"/>
  <c r="I116" i="23"/>
  <c r="K116" i="23" s="1"/>
  <c r="L120" i="23"/>
  <c r="M120" i="23"/>
  <c r="N120" i="23"/>
  <c r="O120" i="23"/>
  <c r="O123" i="23"/>
  <c r="P123" i="23"/>
  <c r="L124" i="23"/>
  <c r="L122" i="23" s="1"/>
  <c r="O122" i="23" s="1"/>
  <c r="M124" i="23"/>
  <c r="M122" i="23" s="1"/>
  <c r="P122" i="23" s="1"/>
  <c r="N124" i="23"/>
  <c r="N122" i="23" s="1"/>
  <c r="O126" i="23"/>
  <c r="P126" i="23"/>
  <c r="L127" i="23"/>
  <c r="L125" i="23" s="1"/>
  <c r="O125" i="23" s="1"/>
  <c r="M127" i="23"/>
  <c r="M125" i="23" s="1"/>
  <c r="P125" i="23" s="1"/>
  <c r="N127" i="23"/>
  <c r="N125" i="23" s="1"/>
  <c r="O127" i="23"/>
  <c r="J130" i="23"/>
  <c r="L133" i="23"/>
  <c r="M133" i="23"/>
  <c r="N133" i="23"/>
  <c r="P133" i="23"/>
  <c r="O136" i="23"/>
  <c r="P136" i="23"/>
  <c r="L137" i="23"/>
  <c r="M137" i="23"/>
  <c r="M135" i="23" s="1"/>
  <c r="P135" i="23" s="1"/>
  <c r="N137" i="23"/>
  <c r="O139" i="23"/>
  <c r="P139" i="23"/>
  <c r="L140" i="23"/>
  <c r="O140" i="23" s="1"/>
  <c r="M140" i="23"/>
  <c r="M138" i="23" s="1"/>
  <c r="P138" i="23" s="1"/>
  <c r="N140" i="23"/>
  <c r="N138" i="23" s="1"/>
  <c r="I144" i="23"/>
  <c r="I145" i="23"/>
  <c r="K145" i="23" s="1"/>
  <c r="I146" i="23"/>
  <c r="K146" i="23" s="1"/>
  <c r="J148" i="23"/>
  <c r="L150" i="23"/>
  <c r="O150" i="23" s="1"/>
  <c r="M150" i="23"/>
  <c r="N150" i="23"/>
  <c r="O153" i="23"/>
  <c r="P153" i="23"/>
  <c r="L154" i="23"/>
  <c r="L152" i="23" s="1"/>
  <c r="O152" i="23" s="1"/>
  <c r="M154" i="23"/>
  <c r="M152" i="23" s="1"/>
  <c r="P152" i="23" s="1"/>
  <c r="N154" i="23"/>
  <c r="N152" i="23" s="1"/>
  <c r="O156" i="23"/>
  <c r="P156" i="23"/>
  <c r="L157" i="23"/>
  <c r="L155" i="23" s="1"/>
  <c r="O155" i="23" s="1"/>
  <c r="M157" i="23"/>
  <c r="M155" i="23" s="1"/>
  <c r="P155" i="23" s="1"/>
  <c r="N157" i="23"/>
  <c r="N155" i="23" s="1"/>
  <c r="I159" i="23"/>
  <c r="I148" i="23" s="1"/>
  <c r="K148" i="23" s="1"/>
  <c r="J164" i="23"/>
  <c r="L166" i="23"/>
  <c r="M166" i="23"/>
  <c r="N166" i="23"/>
  <c r="P166" i="23"/>
  <c r="O169" i="23"/>
  <c r="P169" i="23"/>
  <c r="L170" i="23"/>
  <c r="M170" i="23"/>
  <c r="M168" i="23" s="1"/>
  <c r="N170" i="23"/>
  <c r="N168" i="23" s="1"/>
  <c r="O172" i="23"/>
  <c r="P172" i="23"/>
  <c r="L173" i="23"/>
  <c r="M173" i="23"/>
  <c r="P173" i="23" s="1"/>
  <c r="N173" i="23"/>
  <c r="N171" i="23" s="1"/>
  <c r="J174" i="23"/>
  <c r="I176" i="23"/>
  <c r="K176" i="23" s="1"/>
  <c r="J177" i="23"/>
  <c r="L182" i="23"/>
  <c r="M182" i="23"/>
  <c r="P182" i="23" s="1"/>
  <c r="N182" i="23"/>
  <c r="O185" i="23"/>
  <c r="P185" i="23"/>
  <c r="L186" i="23"/>
  <c r="M186" i="23"/>
  <c r="N186" i="23"/>
  <c r="N184" i="23" s="1"/>
  <c r="O188" i="23"/>
  <c r="P188" i="23"/>
  <c r="L189" i="23"/>
  <c r="M189" i="23"/>
  <c r="P189" i="23" s="1"/>
  <c r="N189" i="23"/>
  <c r="N187" i="23" s="1"/>
  <c r="J190" i="23"/>
  <c r="L191" i="23"/>
  <c r="O191" i="23" s="1"/>
  <c r="P191" i="23"/>
  <c r="I193" i="23"/>
  <c r="I190" i="23" s="1"/>
  <c r="J194" i="23"/>
  <c r="J197" i="23"/>
  <c r="N198" i="23"/>
  <c r="P198" i="23"/>
  <c r="L199" i="23"/>
  <c r="L200" i="23"/>
  <c r="L201" i="23"/>
  <c r="L202" i="23"/>
  <c r="I204" i="23"/>
  <c r="I197" i="23" s="1"/>
  <c r="K197" i="23" s="1"/>
  <c r="J208" i="23"/>
  <c r="N209" i="23"/>
  <c r="P209" i="23"/>
  <c r="L210" i="23"/>
  <c r="L211" i="23"/>
  <c r="L212" i="23"/>
  <c r="I214" i="23"/>
  <c r="K214" i="23" s="1"/>
  <c r="I215" i="23"/>
  <c r="I208" i="23" s="1"/>
  <c r="K208" i="23" s="1"/>
  <c r="J216" i="23"/>
  <c r="P217" i="23"/>
  <c r="L218" i="23"/>
  <c r="N218" i="23"/>
  <c r="N217" i="23" s="1"/>
  <c r="L219" i="23"/>
  <c r="L220" i="23"/>
  <c r="I223" i="23"/>
  <c r="K223" i="23" s="1"/>
  <c r="I224" i="23"/>
  <c r="I225" i="23"/>
  <c r="K225" i="23" s="1"/>
  <c r="N228" i="23"/>
  <c r="N229" i="23"/>
  <c r="N230" i="23"/>
  <c r="N231" i="23"/>
  <c r="J233" i="23"/>
  <c r="I235" i="23"/>
  <c r="K235" i="23" s="1"/>
  <c r="J235" i="23"/>
  <c r="I236" i="23"/>
  <c r="J236" i="23"/>
  <c r="K236" i="23"/>
  <c r="J237" i="23"/>
  <c r="N238" i="23"/>
  <c r="P238" i="23"/>
  <c r="L239" i="23"/>
  <c r="L240" i="23"/>
  <c r="L241" i="23"/>
  <c r="L242" i="23"/>
  <c r="I244" i="23"/>
  <c r="I237" i="23" s="1"/>
  <c r="K246" i="23"/>
  <c r="K247" i="23"/>
  <c r="J248" i="23"/>
  <c r="N249" i="23"/>
  <c r="P249" i="23"/>
  <c r="L250" i="23"/>
  <c r="L251" i="23"/>
  <c r="L252" i="23"/>
  <c r="L253" i="23"/>
  <c r="I255" i="23"/>
  <c r="I248" i="23" s="1"/>
  <c r="K248" i="23" s="1"/>
  <c r="K257" i="23"/>
  <c r="K258" i="23"/>
  <c r="J260" i="23"/>
  <c r="L262" i="23"/>
  <c r="O262" i="23" s="1"/>
  <c r="M262" i="23"/>
  <c r="P262" i="23" s="1"/>
  <c r="N262" i="23"/>
  <c r="O265" i="23"/>
  <c r="P265" i="23"/>
  <c r="L266" i="23"/>
  <c r="L264" i="23" s="1"/>
  <c r="M266" i="23"/>
  <c r="P266" i="23" s="1"/>
  <c r="N266" i="23"/>
  <c r="N264" i="23" s="1"/>
  <c r="O268" i="23"/>
  <c r="P268" i="23"/>
  <c r="L269" i="23"/>
  <c r="L267" i="23" s="1"/>
  <c r="O267" i="23" s="1"/>
  <c r="M269" i="23"/>
  <c r="P269" i="23" s="1"/>
  <c r="N269" i="23"/>
  <c r="N267" i="23" s="1"/>
  <c r="I271" i="23"/>
  <c r="I260" i="23" s="1"/>
  <c r="K260" i="23" s="1"/>
  <c r="J276" i="23"/>
  <c r="L278" i="23"/>
  <c r="M278" i="23"/>
  <c r="P278" i="23" s="1"/>
  <c r="N278" i="23"/>
  <c r="O281" i="23"/>
  <c r="P281" i="23"/>
  <c r="L282" i="23"/>
  <c r="L280" i="23" s="1"/>
  <c r="O280" i="23" s="1"/>
  <c r="M282" i="23"/>
  <c r="P282" i="23" s="1"/>
  <c r="N282" i="23"/>
  <c r="O284" i="23"/>
  <c r="P284" i="23"/>
  <c r="L285" i="23"/>
  <c r="L283" i="23" s="1"/>
  <c r="O283" i="23" s="1"/>
  <c r="M285" i="23"/>
  <c r="P285" i="23" s="1"/>
  <c r="N285" i="23"/>
  <c r="N283" i="23" s="1"/>
  <c r="I287" i="23"/>
  <c r="I276" i="23" s="1"/>
  <c r="K276" i="23" s="1"/>
  <c r="I288" i="23"/>
  <c r="I275" i="23" s="1"/>
  <c r="K275" i="23" s="1"/>
  <c r="I290" i="23"/>
  <c r="K290" i="23" s="1"/>
  <c r="I291" i="23"/>
  <c r="K291" i="23" s="1"/>
  <c r="I293" i="23"/>
  <c r="K293" i="23" s="1"/>
  <c r="I294" i="23"/>
  <c r="K294" i="23" s="1"/>
  <c r="J297" i="23"/>
  <c r="L299" i="23"/>
  <c r="O299" i="23" s="1"/>
  <c r="M299" i="23"/>
  <c r="N299" i="23"/>
  <c r="O302" i="23"/>
  <c r="P302" i="23"/>
  <c r="L303" i="23"/>
  <c r="M303" i="23"/>
  <c r="N303" i="23"/>
  <c r="N301" i="23" s="1"/>
  <c r="O305" i="23"/>
  <c r="P305" i="23"/>
  <c r="L306" i="23"/>
  <c r="L304" i="23" s="1"/>
  <c r="O304" i="23" s="1"/>
  <c r="M306" i="23"/>
  <c r="N306" i="23"/>
  <c r="N304" i="23" s="1"/>
  <c r="I309" i="23"/>
  <c r="I297" i="23" s="1"/>
  <c r="K297" i="23" s="1"/>
  <c r="I310" i="23"/>
  <c r="K310" i="23" s="1"/>
  <c r="I311" i="23"/>
  <c r="K311" i="23" s="1"/>
  <c r="I312" i="23"/>
  <c r="K312" i="23" s="1"/>
  <c r="J314" i="23"/>
  <c r="L316" i="23"/>
  <c r="M316" i="23"/>
  <c r="P316" i="23" s="1"/>
  <c r="N316" i="23"/>
  <c r="O319" i="23"/>
  <c r="P319" i="23"/>
  <c r="L320" i="23"/>
  <c r="O320" i="23" s="1"/>
  <c r="M320" i="23"/>
  <c r="M318" i="23" s="1"/>
  <c r="P318" i="23" s="1"/>
  <c r="N320" i="23"/>
  <c r="N318" i="23" s="1"/>
  <c r="O322" i="23"/>
  <c r="P322" i="23"/>
  <c r="L323" i="23"/>
  <c r="O323" i="23" s="1"/>
  <c r="M323" i="23"/>
  <c r="P323" i="23" s="1"/>
  <c r="N323" i="23"/>
  <c r="N321" i="23" s="1"/>
  <c r="I325" i="23"/>
  <c r="K325" i="23" s="1"/>
  <c r="I327" i="23"/>
  <c r="L329" i="23"/>
  <c r="M329" i="23"/>
  <c r="P329" i="23" s="1"/>
  <c r="N329" i="23"/>
  <c r="O329" i="23"/>
  <c r="O332" i="23"/>
  <c r="P332" i="23"/>
  <c r="L333" i="23"/>
  <c r="L331" i="23" s="1"/>
  <c r="M333" i="23"/>
  <c r="N333" i="23"/>
  <c r="O335" i="23"/>
  <c r="P335" i="23"/>
  <c r="L336" i="23"/>
  <c r="O336" i="23" s="1"/>
  <c r="M336" i="23"/>
  <c r="M334" i="23" s="1"/>
  <c r="P334" i="23" s="1"/>
  <c r="N336" i="23"/>
  <c r="N334" i="23" s="1"/>
  <c r="D337" i="23"/>
  <c r="I338" i="23"/>
  <c r="J338" i="23"/>
  <c r="I340" i="23"/>
  <c r="J340" i="23"/>
  <c r="J341" i="23"/>
  <c r="J342" i="23"/>
  <c r="J343" i="23"/>
  <c r="L346" i="23"/>
  <c r="M346" i="23"/>
  <c r="N346" i="23"/>
  <c r="O346" i="23"/>
  <c r="P346" i="23"/>
  <c r="O349" i="23"/>
  <c r="P349" i="23"/>
  <c r="L350" i="23"/>
  <c r="L348" i="23" s="1"/>
  <c r="M350" i="23"/>
  <c r="M348" i="23" s="1"/>
  <c r="N350" i="23"/>
  <c r="O352" i="23"/>
  <c r="P352" i="23"/>
  <c r="L353" i="23"/>
  <c r="L351" i="23" s="1"/>
  <c r="M353" i="23"/>
  <c r="M351" i="23" s="1"/>
  <c r="N353" i="23"/>
  <c r="I355" i="23"/>
  <c r="K355" i="23" s="1"/>
  <c r="J358" i="23"/>
  <c r="K358" i="23"/>
  <c r="I359" i="23"/>
  <c r="K359" i="23" s="1"/>
  <c r="J359" i="23"/>
  <c r="I360" i="23"/>
  <c r="K360" i="23" s="1"/>
  <c r="J360" i="23"/>
  <c r="J361" i="23"/>
  <c r="K361" i="23"/>
  <c r="I362" i="23"/>
  <c r="K362" i="23" s="1"/>
  <c r="J362" i="23"/>
  <c r="J355" i="23" s="1"/>
  <c r="J363" i="23"/>
  <c r="K363" i="23"/>
  <c r="I365" i="23"/>
  <c r="J368" i="23"/>
  <c r="K368" i="23"/>
  <c r="I369" i="23"/>
  <c r="K369" i="23" s="1"/>
  <c r="J369" i="23"/>
  <c r="I370" i="23"/>
  <c r="K370" i="23" s="1"/>
  <c r="J370" i="23"/>
  <c r="J371" i="23"/>
  <c r="K371" i="23"/>
  <c r="I372" i="23"/>
  <c r="K372" i="23" s="1"/>
  <c r="J372" i="23"/>
  <c r="J365" i="23" s="1"/>
  <c r="J373" i="23"/>
  <c r="K373" i="23"/>
  <c r="I374" i="23"/>
  <c r="K374" i="23" s="1"/>
  <c r="J377" i="23"/>
  <c r="K377" i="23"/>
  <c r="I378" i="23"/>
  <c r="K378" i="23" s="1"/>
  <c r="J378" i="23"/>
  <c r="I379" i="23"/>
  <c r="K379" i="23" s="1"/>
  <c r="J379" i="23"/>
  <c r="J380" i="23"/>
  <c r="K380" i="23"/>
  <c r="I381" i="23"/>
  <c r="K381" i="23" s="1"/>
  <c r="J381" i="23"/>
  <c r="J374" i="23" s="1"/>
  <c r="J382" i="23"/>
  <c r="K382" i="23"/>
  <c r="I385" i="23"/>
  <c r="K385" i="23" s="1"/>
  <c r="J385" i="23"/>
  <c r="I388" i="23"/>
  <c r="K388" i="23" s="1"/>
  <c r="J388" i="23"/>
  <c r="L390" i="23"/>
  <c r="O390" i="23" s="1"/>
  <c r="M390" i="23"/>
  <c r="P390" i="23" s="1"/>
  <c r="N390" i="23"/>
  <c r="O393" i="23"/>
  <c r="P393" i="23"/>
  <c r="L394" i="23"/>
  <c r="L392" i="23" s="1"/>
  <c r="O392" i="23" s="1"/>
  <c r="M394" i="23"/>
  <c r="M392" i="23" s="1"/>
  <c r="P392" i="23" s="1"/>
  <c r="N394" i="23"/>
  <c r="O396" i="23"/>
  <c r="P396" i="23"/>
  <c r="L397" i="23"/>
  <c r="L395" i="23" s="1"/>
  <c r="O395" i="23" s="1"/>
  <c r="M397" i="23"/>
  <c r="M395" i="23" s="1"/>
  <c r="P395" i="23" s="1"/>
  <c r="N397" i="23"/>
  <c r="N395" i="23" s="1"/>
  <c r="K399" i="23"/>
  <c r="K400" i="23"/>
  <c r="I401" i="23"/>
  <c r="K401" i="23" s="1"/>
  <c r="J401" i="23"/>
  <c r="L403" i="23"/>
  <c r="M403" i="23"/>
  <c r="N403" i="23"/>
  <c r="O406" i="23"/>
  <c r="P406" i="23"/>
  <c r="L407" i="23"/>
  <c r="L405" i="23" s="1"/>
  <c r="O405" i="23" s="1"/>
  <c r="M407" i="23"/>
  <c r="N407" i="23"/>
  <c r="N405" i="23" s="1"/>
  <c r="O409" i="23"/>
  <c r="P409" i="23"/>
  <c r="L410" i="23"/>
  <c r="L408" i="23" s="1"/>
  <c r="O408" i="23" s="1"/>
  <c r="M410" i="23"/>
  <c r="M408" i="23" s="1"/>
  <c r="P408" i="23" s="1"/>
  <c r="N410" i="23"/>
  <c r="N408" i="23" s="1"/>
  <c r="K412" i="23"/>
  <c r="K413" i="23"/>
  <c r="L420" i="23"/>
  <c r="M420" i="23"/>
  <c r="P420" i="23" s="1"/>
  <c r="N420" i="23"/>
  <c r="O420" i="23"/>
  <c r="O423" i="23"/>
  <c r="P423" i="23"/>
  <c r="L424" i="23"/>
  <c r="N425" i="23"/>
  <c r="N428" i="23"/>
  <c r="M429" i="23"/>
  <c r="P429" i="23" s="1"/>
  <c r="N429" i="23"/>
  <c r="O430" i="23"/>
  <c r="P430" i="23"/>
  <c r="L431" i="23"/>
  <c r="P431" i="23"/>
  <c r="J434" i="23"/>
  <c r="J418" i="23" s="1"/>
  <c r="I435" i="23"/>
  <c r="I437" i="23"/>
  <c r="K437" i="23" s="1"/>
  <c r="I438" i="23"/>
  <c r="I439" i="23"/>
  <c r="K439" i="23" s="1"/>
  <c r="I440" i="23"/>
  <c r="K440" i="23" s="1"/>
  <c r="I441" i="23"/>
  <c r="K441" i="23" s="1"/>
  <c r="J442" i="23"/>
  <c r="J443" i="23"/>
  <c r="L445" i="23"/>
  <c r="M445" i="23"/>
  <c r="P445" i="23" s="1"/>
  <c r="N445" i="23"/>
  <c r="O448" i="23"/>
  <c r="P448" i="23"/>
  <c r="L449" i="23"/>
  <c r="N450" i="23"/>
  <c r="N449" i="23" s="1"/>
  <c r="N451" i="23"/>
  <c r="N453" i="23"/>
  <c r="M454" i="23"/>
  <c r="P454" i="23" s="1"/>
  <c r="N454" i="23"/>
  <c r="O455" i="23"/>
  <c r="P455" i="23"/>
  <c r="L456" i="23"/>
  <c r="P456" i="23"/>
  <c r="K458" i="23"/>
  <c r="I460" i="23"/>
  <c r="I442" i="23" s="1"/>
  <c r="K442" i="23" s="1"/>
  <c r="I462" i="23"/>
  <c r="K462" i="23" s="1"/>
  <c r="I463" i="23"/>
  <c r="I464" i="23"/>
  <c r="I465" i="23"/>
  <c r="K465" i="23" s="1"/>
  <c r="J465" i="23"/>
  <c r="I466" i="23"/>
  <c r="K466" i="23" s="1"/>
  <c r="J466" i="23"/>
  <c r="L468" i="23"/>
  <c r="M468" i="23"/>
  <c r="N468" i="23"/>
  <c r="M469" i="23"/>
  <c r="P469" i="23" s="1"/>
  <c r="N469" i="23"/>
  <c r="N467" i="23" s="1"/>
  <c r="M470" i="23"/>
  <c r="P470" i="23" s="1"/>
  <c r="O471" i="23"/>
  <c r="P471" i="23"/>
  <c r="L472" i="23"/>
  <c r="L470" i="23" s="1"/>
  <c r="O470" i="23" s="1"/>
  <c r="N472" i="23"/>
  <c r="N470" i="23" s="1"/>
  <c r="P472" i="23"/>
  <c r="M477" i="23"/>
  <c r="P477" i="23" s="1"/>
  <c r="N477" i="23"/>
  <c r="O478" i="23"/>
  <c r="P478" i="23"/>
  <c r="L479" i="23"/>
  <c r="L477" i="23" s="1"/>
  <c r="O477" i="23" s="1"/>
  <c r="P479" i="23"/>
  <c r="I483" i="23"/>
  <c r="K483" i="23" s="1"/>
  <c r="I485" i="23"/>
  <c r="K485" i="23" s="1"/>
  <c r="I487" i="23"/>
  <c r="K487" i="23" s="1"/>
  <c r="I489" i="23"/>
  <c r="K489" i="23" s="1"/>
  <c r="I492" i="23"/>
  <c r="K492" i="23" s="1"/>
  <c r="I495" i="23"/>
  <c r="K495" i="23" s="1"/>
  <c r="I498" i="23"/>
  <c r="K498" i="23" s="1"/>
  <c r="J500" i="23"/>
  <c r="K500" i="23"/>
  <c r="K501" i="23"/>
  <c r="L503" i="23"/>
  <c r="M503" i="23"/>
  <c r="P503" i="23" s="1"/>
  <c r="N503" i="23"/>
  <c r="O503" i="23"/>
  <c r="L504" i="23"/>
  <c r="O504" i="23" s="1"/>
  <c r="M504" i="23"/>
  <c r="P504" i="23" s="1"/>
  <c r="L505" i="23"/>
  <c r="O505" i="23" s="1"/>
  <c r="M505" i="23"/>
  <c r="P505" i="23" s="1"/>
  <c r="O506" i="23"/>
  <c r="P506" i="23"/>
  <c r="N507" i="23"/>
  <c r="N505" i="23" s="1"/>
  <c r="O507" i="23"/>
  <c r="P507" i="23"/>
  <c r="L512" i="23"/>
  <c r="O512" i="23" s="1"/>
  <c r="M512" i="23"/>
  <c r="N512" i="23"/>
  <c r="P512" i="23"/>
  <c r="O513" i="23"/>
  <c r="P513" i="23"/>
  <c r="O514" i="23"/>
  <c r="P514" i="23"/>
  <c r="K516" i="23"/>
  <c r="J517" i="23"/>
  <c r="J501" i="23" s="1"/>
  <c r="K517" i="23"/>
  <c r="L524" i="23"/>
  <c r="M524" i="23"/>
  <c r="N524" i="23"/>
  <c r="O524" i="23"/>
  <c r="M525" i="23"/>
  <c r="P525" i="23" s="1"/>
  <c r="N525" i="23"/>
  <c r="N523" i="23" s="1"/>
  <c r="M526" i="23"/>
  <c r="P526" i="23"/>
  <c r="O527" i="23"/>
  <c r="P527" i="23"/>
  <c r="L528" i="23"/>
  <c r="L526" i="23" s="1"/>
  <c r="O526" i="23" s="1"/>
  <c r="N528" i="23"/>
  <c r="N526" i="23" s="1"/>
  <c r="P528" i="23"/>
  <c r="M533" i="23"/>
  <c r="P533" i="23" s="1"/>
  <c r="N533" i="23"/>
  <c r="O534" i="23"/>
  <c r="P534" i="23"/>
  <c r="L535" i="23"/>
  <c r="L533" i="23" s="1"/>
  <c r="O533" i="23" s="1"/>
  <c r="P535" i="23"/>
  <c r="I537" i="23"/>
  <c r="I522" i="23" s="1"/>
  <c r="K522" i="23" s="1"/>
  <c r="I538" i="23"/>
  <c r="K538" i="23" s="1"/>
  <c r="I539" i="23"/>
  <c r="K539" i="23" s="1"/>
  <c r="I540" i="23"/>
  <c r="K540" i="23" s="1"/>
  <c r="I541" i="23"/>
  <c r="K541" i="23" s="1"/>
  <c r="I542" i="23"/>
  <c r="K542" i="23" s="1"/>
  <c r="L545" i="23"/>
  <c r="O545" i="23" s="1"/>
  <c r="N546" i="23"/>
  <c r="O548" i="23"/>
  <c r="P548" i="23"/>
  <c r="L549" i="23"/>
  <c r="M549" i="23" s="1"/>
  <c r="M547" i="23" s="1"/>
  <c r="P547" i="23" s="1"/>
  <c r="N549" i="23"/>
  <c r="N547" i="23" s="1"/>
  <c r="M555" i="23"/>
  <c r="P555" i="23" s="1"/>
  <c r="N555" i="23"/>
  <c r="N545" i="23" s="1"/>
  <c r="O556" i="23"/>
  <c r="P556" i="23"/>
  <c r="L557" i="23"/>
  <c r="O557" i="23" s="1"/>
  <c r="P557" i="23"/>
  <c r="I560" i="23"/>
  <c r="K560" i="23" s="1"/>
  <c r="J560" i="23"/>
  <c r="I561" i="23"/>
  <c r="K561" i="23" s="1"/>
  <c r="J561" i="23"/>
  <c r="I568" i="23"/>
  <c r="K568" i="23" s="1"/>
  <c r="J568" i="23"/>
  <c r="I569" i="23"/>
  <c r="K569" i="23" s="1"/>
  <c r="J569" i="23"/>
  <c r="I576" i="23"/>
  <c r="I559" i="23" s="1"/>
  <c r="I543" i="23" s="1"/>
  <c r="K543" i="23" s="1"/>
  <c r="I577" i="23"/>
  <c r="K577" i="23" s="1"/>
  <c r="J582" i="23"/>
  <c r="J576" i="23" s="1"/>
  <c r="J559" i="23" s="1"/>
  <c r="J543" i="23" s="1"/>
  <c r="J583" i="23"/>
  <c r="J577" i="23" s="1"/>
  <c r="I593" i="23"/>
  <c r="I594" i="23"/>
  <c r="J595" i="23"/>
  <c r="J596" i="23"/>
  <c r="J594" i="23" s="1"/>
  <c r="J603" i="23"/>
  <c r="J604" i="23"/>
  <c r="J611" i="23"/>
  <c r="K611" i="23"/>
  <c r="J612" i="23"/>
  <c r="K612" i="23"/>
  <c r="J613" i="23"/>
  <c r="K613" i="23"/>
  <c r="I620" i="23"/>
  <c r="K620" i="23" s="1"/>
  <c r="J620" i="23"/>
  <c r="I621" i="23"/>
  <c r="K621" i="23" s="1"/>
  <c r="J621" i="23"/>
  <c r="L630" i="23"/>
  <c r="M630" i="23"/>
  <c r="N630" i="23"/>
  <c r="O630" i="23"/>
  <c r="P630" i="23"/>
  <c r="M631" i="23"/>
  <c r="M629" i="23" s="1"/>
  <c r="P629" i="23" s="1"/>
  <c r="M632" i="23"/>
  <c r="N632" i="23"/>
  <c r="P632" i="23"/>
  <c r="O633" i="23"/>
  <c r="P633" i="23"/>
  <c r="L634" i="23"/>
  <c r="N634" i="23"/>
  <c r="N631" i="23" s="1"/>
  <c r="P634" i="23"/>
  <c r="M639" i="23"/>
  <c r="P639" i="23" s="1"/>
  <c r="N639" i="23"/>
  <c r="O640" i="23"/>
  <c r="P640" i="23"/>
  <c r="L641" i="23"/>
  <c r="L639" i="23" s="1"/>
  <c r="O639" i="23" s="1"/>
  <c r="P641" i="23"/>
  <c r="I643" i="23"/>
  <c r="K643" i="23" s="1"/>
  <c r="I644" i="23"/>
  <c r="K644" i="23" s="1"/>
  <c r="J645" i="23"/>
  <c r="K645" i="23"/>
  <c r="J646" i="23"/>
  <c r="K646" i="23"/>
  <c r="I647" i="23"/>
  <c r="K647" i="23" s="1"/>
  <c r="J647" i="23"/>
  <c r="J648" i="23"/>
  <c r="K648" i="23"/>
  <c r="I649" i="23"/>
  <c r="K649" i="23" s="1"/>
  <c r="J649" i="23"/>
  <c r="J650" i="23"/>
  <c r="K650" i="23"/>
  <c r="I651" i="23"/>
  <c r="I628" i="23" s="1"/>
  <c r="K628" i="23" s="1"/>
  <c r="J651" i="23"/>
  <c r="J628" i="23" s="1"/>
  <c r="J652" i="23"/>
  <c r="K652" i="23"/>
  <c r="L656" i="23"/>
  <c r="O656" i="23" s="1"/>
  <c r="M656" i="23"/>
  <c r="P656" i="23" s="1"/>
  <c r="N656" i="23"/>
  <c r="O659" i="23"/>
  <c r="P659" i="23"/>
  <c r="L660" i="23"/>
  <c r="L657" i="23" s="1"/>
  <c r="N660" i="23"/>
  <c r="L665" i="23"/>
  <c r="O665" i="23" s="1"/>
  <c r="M665" i="23"/>
  <c r="P665" i="23" s="1"/>
  <c r="N665" i="23"/>
  <c r="O666" i="23"/>
  <c r="P666" i="23"/>
  <c r="O667" i="23"/>
  <c r="P667" i="23"/>
  <c r="I669" i="23"/>
  <c r="I654" i="23" s="1"/>
  <c r="K654" i="23" s="1"/>
  <c r="J669" i="23"/>
  <c r="J654" i="23" s="1"/>
  <c r="I670" i="23"/>
  <c r="K670" i="23" s="1"/>
  <c r="I671" i="23"/>
  <c r="K671" i="23" s="1"/>
  <c r="J675" i="23"/>
  <c r="I678" i="23"/>
  <c r="K678" i="23" s="1"/>
  <c r="J679" i="23"/>
  <c r="J678" i="23" s="1"/>
  <c r="L686" i="23"/>
  <c r="M686" i="23"/>
  <c r="N686" i="23"/>
  <c r="O686" i="23"/>
  <c r="P686" i="23"/>
  <c r="L690" i="23"/>
  <c r="O690" i="23" s="1"/>
  <c r="N690" i="23"/>
  <c r="N687" i="23" s="1"/>
  <c r="N685" i="23" s="1"/>
  <c r="L695" i="23"/>
  <c r="O695" i="23" s="1"/>
  <c r="M695" i="23"/>
  <c r="N695" i="23"/>
  <c r="P695" i="23"/>
  <c r="O696" i="23"/>
  <c r="P696" i="23"/>
  <c r="O697" i="23"/>
  <c r="P697" i="23"/>
  <c r="I699" i="23"/>
  <c r="K699" i="23" s="1"/>
  <c r="I700" i="23"/>
  <c r="J700" i="23"/>
  <c r="I701" i="23"/>
  <c r="K701" i="23" s="1"/>
  <c r="J701" i="23"/>
  <c r="I704" i="23"/>
  <c r="I707" i="23"/>
  <c r="I708" i="23"/>
  <c r="K708" i="23" s="1"/>
  <c r="J708" i="23"/>
  <c r="J718" i="23"/>
  <c r="J719" i="23"/>
  <c r="I720" i="23"/>
  <c r="K720" i="23" s="1"/>
  <c r="J720" i="23"/>
  <c r="I721" i="23"/>
  <c r="I722" i="23"/>
  <c r="I723" i="23"/>
  <c r="J723" i="23"/>
  <c r="J724" i="23"/>
  <c r="I725" i="23"/>
  <c r="J725" i="23"/>
  <c r="I726" i="23"/>
  <c r="K726" i="23" s="1"/>
  <c r="J726" i="23"/>
  <c r="J727" i="23"/>
  <c r="I728" i="23"/>
  <c r="K728" i="23" s="1"/>
  <c r="J728" i="23"/>
  <c r="I729" i="23"/>
  <c r="K729" i="23" s="1"/>
  <c r="J729" i="23"/>
  <c r="J736" i="23"/>
  <c r="K736" i="23"/>
  <c r="L738" i="23"/>
  <c r="L737" i="23" s="1"/>
  <c r="O737" i="23" s="1"/>
  <c r="M738" i="23"/>
  <c r="M737" i="23" s="1"/>
  <c r="P737" i="23" s="1"/>
  <c r="N738" i="23"/>
  <c r="L739" i="23"/>
  <c r="O739" i="23" s="1"/>
  <c r="M739" i="23"/>
  <c r="P739" i="23" s="1"/>
  <c r="L740" i="23"/>
  <c r="O740" i="23" s="1"/>
  <c r="M740" i="23"/>
  <c r="P740" i="23" s="1"/>
  <c r="O741" i="23"/>
  <c r="P741" i="23"/>
  <c r="N742" i="23"/>
  <c r="N739" i="23" s="1"/>
  <c r="N737" i="23" s="1"/>
  <c r="O742" i="23"/>
  <c r="P742" i="23"/>
  <c r="L747" i="23"/>
  <c r="M747" i="23"/>
  <c r="P747" i="23" s="1"/>
  <c r="N747" i="23"/>
  <c r="O747" i="23"/>
  <c r="O748" i="23"/>
  <c r="P748" i="23"/>
  <c r="O749" i="23"/>
  <c r="P749" i="23"/>
  <c r="J753" i="23"/>
  <c r="K753" i="23"/>
  <c r="L755" i="23"/>
  <c r="M755" i="23"/>
  <c r="N755" i="23"/>
  <c r="O755" i="23"/>
  <c r="L756" i="23"/>
  <c r="O756" i="23" s="1"/>
  <c r="M756" i="23"/>
  <c r="P756" i="23" s="1"/>
  <c r="N756" i="23"/>
  <c r="N754" i="23" s="1"/>
  <c r="L757" i="23"/>
  <c r="O757" i="23" s="1"/>
  <c r="M757" i="23"/>
  <c r="P757" i="23" s="1"/>
  <c r="N757" i="23"/>
  <c r="O758" i="23"/>
  <c r="P758" i="23"/>
  <c r="N759" i="23"/>
  <c r="O759" i="23"/>
  <c r="P759" i="23"/>
  <c r="L764" i="23"/>
  <c r="O764" i="23" s="1"/>
  <c r="M764" i="23"/>
  <c r="P764" i="23" s="1"/>
  <c r="N764" i="23"/>
  <c r="O765" i="23"/>
  <c r="P765" i="23"/>
  <c r="O766" i="23"/>
  <c r="P766" i="23"/>
  <c r="J769" i="23"/>
  <c r="K769" i="23"/>
  <c r="L771" i="23"/>
  <c r="L770" i="23" s="1"/>
  <c r="O770" i="23" s="1"/>
  <c r="M771" i="23"/>
  <c r="N771" i="23"/>
  <c r="L772" i="23"/>
  <c r="O772" i="23" s="1"/>
  <c r="M772" i="23"/>
  <c r="P772" i="23" s="1"/>
  <c r="L773" i="23"/>
  <c r="O773" i="23" s="1"/>
  <c r="M773" i="23"/>
  <c r="P773" i="23" s="1"/>
  <c r="O774" i="23"/>
  <c r="P774" i="23"/>
  <c r="N775" i="23"/>
  <c r="N773" i="23" s="1"/>
  <c r="O775" i="23"/>
  <c r="P775" i="23"/>
  <c r="L780" i="23"/>
  <c r="M780" i="23"/>
  <c r="P780" i="23" s="1"/>
  <c r="N780" i="23"/>
  <c r="O780" i="23"/>
  <c r="O781" i="23"/>
  <c r="P781" i="23"/>
  <c r="O782" i="23"/>
  <c r="P782" i="23"/>
  <c r="L787" i="23"/>
  <c r="O787" i="23" s="1"/>
  <c r="M787" i="23"/>
  <c r="M786" i="23" s="1"/>
  <c r="P786" i="23" s="1"/>
  <c r="N787" i="23"/>
  <c r="M788" i="23"/>
  <c r="P788" i="23" s="1"/>
  <c r="M789" i="23"/>
  <c r="P789" i="23" s="1"/>
  <c r="O790" i="23"/>
  <c r="P790" i="23"/>
  <c r="L791" i="23"/>
  <c r="O791" i="23" s="1"/>
  <c r="N791" i="23"/>
  <c r="N788" i="23" s="1"/>
  <c r="N786" i="23" s="1"/>
  <c r="P791" i="23"/>
  <c r="L796" i="23"/>
  <c r="M796" i="23"/>
  <c r="P796" i="23" s="1"/>
  <c r="N796" i="23"/>
  <c r="O796" i="23"/>
  <c r="O797" i="23"/>
  <c r="P797" i="23"/>
  <c r="O798" i="23"/>
  <c r="P798" i="23"/>
  <c r="I800" i="23"/>
  <c r="I785" i="23" s="1"/>
  <c r="K785" i="23" s="1"/>
  <c r="J800" i="23"/>
  <c r="J785" i="23" s="1"/>
  <c r="J801" i="23"/>
  <c r="K802" i="23"/>
  <c r="J804" i="23"/>
  <c r="K804" i="23"/>
  <c r="L806" i="23"/>
  <c r="L805" i="23" s="1"/>
  <c r="O805" i="23" s="1"/>
  <c r="M806" i="23"/>
  <c r="P806" i="23" s="1"/>
  <c r="N806" i="23"/>
  <c r="L807" i="23"/>
  <c r="M807" i="23"/>
  <c r="M805" i="23" s="1"/>
  <c r="P805" i="23" s="1"/>
  <c r="O807" i="23"/>
  <c r="L808" i="23"/>
  <c r="O808" i="23" s="1"/>
  <c r="M808" i="23"/>
  <c r="P808" i="23" s="1"/>
  <c r="O809" i="23"/>
  <c r="P809" i="23"/>
  <c r="N810" i="23"/>
  <c r="N807" i="23" s="1"/>
  <c r="N805" i="23" s="1"/>
  <c r="O810" i="23"/>
  <c r="P810" i="23"/>
  <c r="L815" i="23"/>
  <c r="M815" i="23"/>
  <c r="P815" i="23" s="1"/>
  <c r="N815" i="23"/>
  <c r="O815" i="23"/>
  <c r="O816" i="23"/>
  <c r="P816" i="23"/>
  <c r="O817" i="23"/>
  <c r="P817" i="23"/>
  <c r="H820" i="23"/>
  <c r="I821" i="23"/>
  <c r="K821" i="23" s="1"/>
  <c r="J821" i="23"/>
  <c r="I822" i="23"/>
  <c r="K822" i="23" s="1"/>
  <c r="J822" i="23"/>
  <c r="I823" i="23"/>
  <c r="J823" i="23"/>
  <c r="I824" i="23"/>
  <c r="J824" i="23"/>
  <c r="I825" i="23"/>
  <c r="J825" i="23"/>
  <c r="I826" i="23"/>
  <c r="J826" i="23"/>
  <c r="I827" i="23"/>
  <c r="J827" i="23"/>
  <c r="I828" i="23"/>
  <c r="J828" i="23"/>
  <c r="L22" i="22"/>
  <c r="M22" i="22"/>
  <c r="P22" i="22" s="1"/>
  <c r="N22" i="22"/>
  <c r="L25" i="22"/>
  <c r="M25" i="22"/>
  <c r="N25" i="22"/>
  <c r="O25" i="22"/>
  <c r="L32" i="22"/>
  <c r="O32" i="22" s="1"/>
  <c r="M32" i="22"/>
  <c r="N32" i="22"/>
  <c r="L35" i="22"/>
  <c r="M35" i="22"/>
  <c r="P35" i="22" s="1"/>
  <c r="N35" i="22"/>
  <c r="N15" i="22" s="1"/>
  <c r="M36" i="22"/>
  <c r="N36" i="22"/>
  <c r="L42" i="22"/>
  <c r="M42" i="22"/>
  <c r="P42" i="22" s="1"/>
  <c r="N42" i="22"/>
  <c r="O45" i="22"/>
  <c r="P45" i="22"/>
  <c r="L46" i="22"/>
  <c r="L44" i="22" s="1"/>
  <c r="M46" i="22"/>
  <c r="M44" i="22" s="1"/>
  <c r="N46" i="22"/>
  <c r="O48" i="22"/>
  <c r="P48" i="22"/>
  <c r="L49" i="22"/>
  <c r="L47" i="22" s="1"/>
  <c r="O47" i="22" s="1"/>
  <c r="M49" i="22"/>
  <c r="M47" i="22" s="1"/>
  <c r="P47" i="22" s="1"/>
  <c r="N49" i="22"/>
  <c r="N47" i="22" s="1"/>
  <c r="L54" i="22"/>
  <c r="M54" i="22"/>
  <c r="N54" i="22"/>
  <c r="O54" i="22"/>
  <c r="O57" i="22"/>
  <c r="P57" i="22"/>
  <c r="L58" i="22"/>
  <c r="M58" i="22"/>
  <c r="M56" i="22" s="1"/>
  <c r="N58" i="22"/>
  <c r="O60" i="22"/>
  <c r="P60" i="22"/>
  <c r="L61" i="22"/>
  <c r="M61" i="22"/>
  <c r="M59" i="22" s="1"/>
  <c r="N61" i="22"/>
  <c r="J64" i="22"/>
  <c r="L67" i="22"/>
  <c r="M67" i="22"/>
  <c r="N67" i="22"/>
  <c r="P67" i="22"/>
  <c r="O70" i="22"/>
  <c r="P70" i="22"/>
  <c r="L71" i="22"/>
  <c r="L69" i="22" s="1"/>
  <c r="M71" i="22"/>
  <c r="M69" i="22" s="1"/>
  <c r="N71" i="22"/>
  <c r="N69" i="22" s="1"/>
  <c r="O73" i="22"/>
  <c r="P73" i="22"/>
  <c r="L74" i="22"/>
  <c r="L72" i="22" s="1"/>
  <c r="O72" i="22" s="1"/>
  <c r="M74" i="22"/>
  <c r="M72" i="22" s="1"/>
  <c r="P72" i="22" s="1"/>
  <c r="N74" i="22"/>
  <c r="N72" i="22" s="1"/>
  <c r="J76" i="22"/>
  <c r="J77" i="22"/>
  <c r="J65" i="22" s="1"/>
  <c r="I78" i="22"/>
  <c r="K78" i="22" s="1"/>
  <c r="I79" i="22"/>
  <c r="K79" i="22" s="1"/>
  <c r="I80" i="22"/>
  <c r="K80" i="22" s="1"/>
  <c r="I81" i="22"/>
  <c r="K81" i="22" s="1"/>
  <c r="I82" i="22"/>
  <c r="K82" i="22" s="1"/>
  <c r="I83" i="22"/>
  <c r="K83" i="22" s="1"/>
  <c r="I84" i="22"/>
  <c r="K84" i="22" s="1"/>
  <c r="L89" i="22"/>
  <c r="O89" i="22" s="1"/>
  <c r="M89" i="22"/>
  <c r="N89" i="22"/>
  <c r="O92" i="22"/>
  <c r="P92" i="22"/>
  <c r="L93" i="22"/>
  <c r="M93" i="22"/>
  <c r="M91" i="22" s="1"/>
  <c r="N93" i="22"/>
  <c r="N91" i="22" s="1"/>
  <c r="O95" i="22"/>
  <c r="P95" i="22"/>
  <c r="L96" i="22"/>
  <c r="M96" i="22"/>
  <c r="M94" i="22" s="1"/>
  <c r="P94" i="22" s="1"/>
  <c r="N96" i="22"/>
  <c r="N94" i="22" s="1"/>
  <c r="I98" i="22"/>
  <c r="I86" i="22" s="1"/>
  <c r="J98" i="22"/>
  <c r="I99" i="22"/>
  <c r="J99" i="22"/>
  <c r="J87" i="22" s="1"/>
  <c r="I100" i="22"/>
  <c r="J100" i="22"/>
  <c r="I102" i="22"/>
  <c r="K102" i="22" s="1"/>
  <c r="I103" i="22"/>
  <c r="K103" i="22" s="1"/>
  <c r="I104" i="22"/>
  <c r="K104" i="22" s="1"/>
  <c r="I106" i="22"/>
  <c r="K106" i="22" s="1"/>
  <c r="I107" i="22"/>
  <c r="K107" i="22" s="1"/>
  <c r="I109" i="22"/>
  <c r="K109" i="22" s="1"/>
  <c r="I110" i="22"/>
  <c r="K110" i="22" s="1"/>
  <c r="I111" i="22"/>
  <c r="K111" i="22" s="1"/>
  <c r="J111" i="22"/>
  <c r="J112" i="22"/>
  <c r="I113" i="22"/>
  <c r="K113" i="22" s="1"/>
  <c r="I114" i="22"/>
  <c r="K114" i="22" s="1"/>
  <c r="I115" i="22"/>
  <c r="I116" i="22"/>
  <c r="K116" i="22" s="1"/>
  <c r="K118" i="22"/>
  <c r="L120" i="22"/>
  <c r="M120" i="22"/>
  <c r="N120" i="22"/>
  <c r="P120" i="22"/>
  <c r="O123" i="22"/>
  <c r="P123" i="22"/>
  <c r="L124" i="22"/>
  <c r="L122" i="22" s="1"/>
  <c r="O122" i="22" s="1"/>
  <c r="M124" i="22"/>
  <c r="N124" i="22"/>
  <c r="O126" i="22"/>
  <c r="P126" i="22"/>
  <c r="L127" i="22"/>
  <c r="L125" i="22" s="1"/>
  <c r="O125" i="22" s="1"/>
  <c r="M127" i="22"/>
  <c r="N127" i="22"/>
  <c r="N125" i="22" s="1"/>
  <c r="J130" i="22"/>
  <c r="L133" i="22"/>
  <c r="O133" i="22" s="1"/>
  <c r="M133" i="22"/>
  <c r="P133" i="22" s="1"/>
  <c r="N133" i="22"/>
  <c r="O136" i="22"/>
  <c r="P136" i="22"/>
  <c r="L137" i="22"/>
  <c r="L135" i="22" s="1"/>
  <c r="O135" i="22" s="1"/>
  <c r="M137" i="22"/>
  <c r="M135" i="22" s="1"/>
  <c r="P135" i="22" s="1"/>
  <c r="N137" i="22"/>
  <c r="N135" i="22" s="1"/>
  <c r="O139" i="22"/>
  <c r="P139" i="22"/>
  <c r="L140" i="22"/>
  <c r="L138" i="22" s="1"/>
  <c r="O138" i="22" s="1"/>
  <c r="M140" i="22"/>
  <c r="M138" i="22" s="1"/>
  <c r="P138" i="22" s="1"/>
  <c r="N140" i="22"/>
  <c r="N138" i="22" s="1"/>
  <c r="I144" i="22"/>
  <c r="I145" i="22"/>
  <c r="I146" i="22"/>
  <c r="K146" i="22" s="1"/>
  <c r="J148" i="22"/>
  <c r="L150" i="22"/>
  <c r="M150" i="22"/>
  <c r="N150" i="22"/>
  <c r="P150" i="22"/>
  <c r="O153" i="22"/>
  <c r="P153" i="22"/>
  <c r="L154" i="22"/>
  <c r="L152" i="22" s="1"/>
  <c r="M154" i="22"/>
  <c r="N154" i="22"/>
  <c r="N152" i="22" s="1"/>
  <c r="O156" i="22"/>
  <c r="P156" i="22"/>
  <c r="L157" i="22"/>
  <c r="L155" i="22" s="1"/>
  <c r="O155" i="22" s="1"/>
  <c r="M157" i="22"/>
  <c r="N157" i="22"/>
  <c r="N155" i="22" s="1"/>
  <c r="I159" i="22"/>
  <c r="I148" i="22" s="1"/>
  <c r="K148" i="22" s="1"/>
  <c r="L166" i="22"/>
  <c r="M166" i="22"/>
  <c r="P166" i="22" s="1"/>
  <c r="N166" i="22"/>
  <c r="O169" i="22"/>
  <c r="P169" i="22"/>
  <c r="L170" i="22"/>
  <c r="M170" i="22"/>
  <c r="M168" i="22" s="1"/>
  <c r="N170" i="22"/>
  <c r="N168" i="22" s="1"/>
  <c r="O172" i="22"/>
  <c r="P172" i="22"/>
  <c r="L173" i="22"/>
  <c r="O173" i="22" s="1"/>
  <c r="M173" i="22"/>
  <c r="M171" i="22" s="1"/>
  <c r="P171" i="22" s="1"/>
  <c r="N173" i="22"/>
  <c r="N171" i="22" s="1"/>
  <c r="J174" i="22"/>
  <c r="J164" i="22" s="1"/>
  <c r="I176" i="22"/>
  <c r="K176" i="22" s="1"/>
  <c r="J177" i="22"/>
  <c r="L182" i="22"/>
  <c r="M182" i="22"/>
  <c r="P182" i="22" s="1"/>
  <c r="N182" i="22"/>
  <c r="O185" i="22"/>
  <c r="P185" i="22"/>
  <c r="L186" i="22"/>
  <c r="M186" i="22"/>
  <c r="M184" i="22" s="1"/>
  <c r="N186" i="22"/>
  <c r="N184" i="22" s="1"/>
  <c r="O188" i="22"/>
  <c r="P188" i="22"/>
  <c r="L189" i="22"/>
  <c r="O189" i="22" s="1"/>
  <c r="M189" i="22"/>
  <c r="P189" i="22" s="1"/>
  <c r="N189" i="22"/>
  <c r="N187" i="22" s="1"/>
  <c r="J190" i="22"/>
  <c r="L191" i="22"/>
  <c r="O191" i="22" s="1"/>
  <c r="P191" i="22"/>
  <c r="I193" i="22"/>
  <c r="K193" i="22" s="1"/>
  <c r="J194" i="22"/>
  <c r="J197" i="22"/>
  <c r="N198" i="22"/>
  <c r="P198" i="22"/>
  <c r="L199" i="22"/>
  <c r="L200" i="22"/>
  <c r="L201" i="22"/>
  <c r="L202" i="22"/>
  <c r="I204" i="22"/>
  <c r="K206" i="22"/>
  <c r="K207" i="22"/>
  <c r="J208" i="22"/>
  <c r="N209" i="22"/>
  <c r="P209" i="22"/>
  <c r="L210" i="22"/>
  <c r="L211" i="22"/>
  <c r="L212" i="22"/>
  <c r="I214" i="22"/>
  <c r="K214" i="22" s="1"/>
  <c r="I215" i="22"/>
  <c r="J216" i="22"/>
  <c r="N217" i="22"/>
  <c r="P217" i="22"/>
  <c r="L218" i="22"/>
  <c r="L219" i="22"/>
  <c r="L220" i="22"/>
  <c r="I223" i="22"/>
  <c r="K223" i="22" s="1"/>
  <c r="I224" i="22"/>
  <c r="K224" i="22" s="1"/>
  <c r="I225" i="22"/>
  <c r="K225" i="22" s="1"/>
  <c r="N228" i="22"/>
  <c r="N229" i="22"/>
  <c r="N230" i="22"/>
  <c r="N231" i="22"/>
  <c r="J233" i="22"/>
  <c r="I235" i="22"/>
  <c r="K235" i="22" s="1"/>
  <c r="J235" i="22"/>
  <c r="I236" i="22"/>
  <c r="K236" i="22" s="1"/>
  <c r="J236" i="22"/>
  <c r="J237" i="22"/>
  <c r="J226" i="22" s="1"/>
  <c r="J180" i="22" s="1"/>
  <c r="N238" i="22"/>
  <c r="N227" i="22" s="1"/>
  <c r="P238" i="22"/>
  <c r="L239" i="22"/>
  <c r="L240" i="22"/>
  <c r="L241" i="22"/>
  <c r="L242" i="22"/>
  <c r="I244" i="22"/>
  <c r="K246" i="22"/>
  <c r="K247" i="22"/>
  <c r="J248" i="22"/>
  <c r="N249" i="22"/>
  <c r="P249" i="22"/>
  <c r="L250" i="22"/>
  <c r="L251" i="22"/>
  <c r="L252" i="22"/>
  <c r="L253" i="22"/>
  <c r="I255" i="22"/>
  <c r="K255" i="22" s="1"/>
  <c r="K257" i="22"/>
  <c r="K258" i="22"/>
  <c r="J260" i="22"/>
  <c r="L262" i="22"/>
  <c r="M262" i="22"/>
  <c r="P262" i="22" s="1"/>
  <c r="N262" i="22"/>
  <c r="O262" i="22"/>
  <c r="O265" i="22"/>
  <c r="P265" i="22"/>
  <c r="L266" i="22"/>
  <c r="M266" i="22"/>
  <c r="N266" i="22"/>
  <c r="O268" i="22"/>
  <c r="P268" i="22"/>
  <c r="L269" i="22"/>
  <c r="L267" i="22" s="1"/>
  <c r="O267" i="22" s="1"/>
  <c r="M269" i="22"/>
  <c r="M267" i="22" s="1"/>
  <c r="P267" i="22" s="1"/>
  <c r="N269" i="22"/>
  <c r="N267" i="22" s="1"/>
  <c r="I271" i="22"/>
  <c r="K271" i="22" s="1"/>
  <c r="J276" i="22"/>
  <c r="L278" i="22"/>
  <c r="M278" i="22"/>
  <c r="P278" i="22" s="1"/>
  <c r="N278" i="22"/>
  <c r="O278" i="22"/>
  <c r="O281" i="22"/>
  <c r="P281" i="22"/>
  <c r="L282" i="22"/>
  <c r="L280" i="22" s="1"/>
  <c r="M282" i="22"/>
  <c r="N282" i="22"/>
  <c r="N280" i="22" s="1"/>
  <c r="O284" i="22"/>
  <c r="P284" i="22"/>
  <c r="L285" i="22"/>
  <c r="L283" i="22" s="1"/>
  <c r="O283" i="22" s="1"/>
  <c r="M285" i="22"/>
  <c r="M283" i="22" s="1"/>
  <c r="P283" i="22" s="1"/>
  <c r="N285" i="22"/>
  <c r="N283" i="22" s="1"/>
  <c r="I287" i="22"/>
  <c r="K287" i="22" s="1"/>
  <c r="I288" i="22"/>
  <c r="I275" i="22" s="1"/>
  <c r="I290" i="22"/>
  <c r="K290" i="22" s="1"/>
  <c r="I291" i="22"/>
  <c r="K291" i="22" s="1"/>
  <c r="I293" i="22"/>
  <c r="K293" i="22" s="1"/>
  <c r="I294" i="22"/>
  <c r="K294" i="22" s="1"/>
  <c r="J297" i="22"/>
  <c r="L299" i="22"/>
  <c r="M299" i="22"/>
  <c r="P299" i="22" s="1"/>
  <c r="N299" i="22"/>
  <c r="O299" i="22"/>
  <c r="O302" i="22"/>
  <c r="P302" i="22"/>
  <c r="L303" i="22"/>
  <c r="M303" i="22"/>
  <c r="M301" i="22" s="1"/>
  <c r="N303" i="22"/>
  <c r="O305" i="22"/>
  <c r="P305" i="22"/>
  <c r="L306" i="22"/>
  <c r="L304" i="22" s="1"/>
  <c r="O304" i="22" s="1"/>
  <c r="M306" i="22"/>
  <c r="M304" i="22" s="1"/>
  <c r="P304" i="22" s="1"/>
  <c r="N306" i="22"/>
  <c r="N304" i="22" s="1"/>
  <c r="I309" i="22"/>
  <c r="I297" i="22" s="1"/>
  <c r="K297" i="22" s="1"/>
  <c r="I310" i="22"/>
  <c r="K310" i="22" s="1"/>
  <c r="I311" i="22"/>
  <c r="K311" i="22" s="1"/>
  <c r="I312" i="22"/>
  <c r="K312" i="22" s="1"/>
  <c r="J314" i="22"/>
  <c r="L316" i="22"/>
  <c r="O316" i="22" s="1"/>
  <c r="M316" i="22"/>
  <c r="N316" i="22"/>
  <c r="O319" i="22"/>
  <c r="P319" i="22"/>
  <c r="L320" i="22"/>
  <c r="L318" i="22" s="1"/>
  <c r="O318" i="22" s="1"/>
  <c r="M320" i="22"/>
  <c r="N320" i="22"/>
  <c r="N318" i="22" s="1"/>
  <c r="O322" i="22"/>
  <c r="P322" i="22"/>
  <c r="L323" i="22"/>
  <c r="O323" i="22" s="1"/>
  <c r="M323" i="22"/>
  <c r="N323" i="22"/>
  <c r="I325" i="22"/>
  <c r="I314" i="22" s="1"/>
  <c r="K314" i="22" s="1"/>
  <c r="I327" i="22"/>
  <c r="L329" i="22"/>
  <c r="O329" i="22" s="1"/>
  <c r="M329" i="22"/>
  <c r="P329" i="22" s="1"/>
  <c r="N329" i="22"/>
  <c r="O332" i="22"/>
  <c r="P332" i="22"/>
  <c r="L333" i="22"/>
  <c r="M333" i="22"/>
  <c r="M331" i="22" s="1"/>
  <c r="N333" i="22"/>
  <c r="O335" i="22"/>
  <c r="P335" i="22"/>
  <c r="L336" i="22"/>
  <c r="O336" i="22" s="1"/>
  <c r="M336" i="22"/>
  <c r="M334" i="22" s="1"/>
  <c r="P334" i="22" s="1"/>
  <c r="N336" i="22"/>
  <c r="N334" i="22" s="1"/>
  <c r="D337" i="22"/>
  <c r="I338" i="22"/>
  <c r="J338" i="22"/>
  <c r="I340" i="22"/>
  <c r="J340" i="22"/>
  <c r="J341" i="22"/>
  <c r="J342" i="22"/>
  <c r="J343" i="22"/>
  <c r="L346" i="22"/>
  <c r="M346" i="22"/>
  <c r="P346" i="22" s="1"/>
  <c r="N346" i="22"/>
  <c r="O346" i="22"/>
  <c r="O349" i="22"/>
  <c r="P349" i="22"/>
  <c r="L350" i="22"/>
  <c r="L348" i="22" s="1"/>
  <c r="M350" i="22"/>
  <c r="N350" i="22"/>
  <c r="N348" i="22" s="1"/>
  <c r="O352" i="22"/>
  <c r="P352" i="22"/>
  <c r="L353" i="22"/>
  <c r="L351" i="22" s="1"/>
  <c r="M353" i="22"/>
  <c r="M351" i="22" s="1"/>
  <c r="N353" i="22"/>
  <c r="N351" i="22" s="1"/>
  <c r="I355" i="22"/>
  <c r="J358" i="22"/>
  <c r="K358" i="22"/>
  <c r="I359" i="22"/>
  <c r="J359" i="22"/>
  <c r="I360" i="22"/>
  <c r="J360" i="22"/>
  <c r="J361" i="22"/>
  <c r="K361" i="22"/>
  <c r="I362" i="22"/>
  <c r="J362" i="22"/>
  <c r="J355" i="22" s="1"/>
  <c r="J363" i="22"/>
  <c r="K363" i="22"/>
  <c r="I365" i="22"/>
  <c r="J368" i="22"/>
  <c r="K368" i="22"/>
  <c r="I369" i="22"/>
  <c r="J369" i="22"/>
  <c r="I370" i="22"/>
  <c r="J370" i="22"/>
  <c r="J371" i="22"/>
  <c r="K371" i="22"/>
  <c r="I372" i="22"/>
  <c r="J372" i="22"/>
  <c r="J365" i="22" s="1"/>
  <c r="A373" i="22"/>
  <c r="J373" i="22"/>
  <c r="K373" i="22"/>
  <c r="I374" i="22"/>
  <c r="J377" i="22"/>
  <c r="K377" i="22"/>
  <c r="I378" i="22"/>
  <c r="J378" i="22"/>
  <c r="I379" i="22"/>
  <c r="J379" i="22"/>
  <c r="J380" i="22"/>
  <c r="K380" i="22"/>
  <c r="I381" i="22"/>
  <c r="J381" i="22"/>
  <c r="J374" i="22" s="1"/>
  <c r="A382" i="22"/>
  <c r="J382" i="22"/>
  <c r="K382" i="22"/>
  <c r="D384" i="22"/>
  <c r="I385" i="22"/>
  <c r="J385" i="22"/>
  <c r="I388" i="22"/>
  <c r="J388" i="22"/>
  <c r="K388" i="22"/>
  <c r="L390" i="22"/>
  <c r="O390" i="22" s="1"/>
  <c r="M390" i="22"/>
  <c r="N390" i="22"/>
  <c r="O393" i="22"/>
  <c r="P393" i="22"/>
  <c r="L394" i="22"/>
  <c r="L392" i="22" s="1"/>
  <c r="O392" i="22" s="1"/>
  <c r="M394" i="22"/>
  <c r="N394" i="22"/>
  <c r="N392" i="22" s="1"/>
  <c r="O396" i="22"/>
  <c r="P396" i="22"/>
  <c r="L397" i="22"/>
  <c r="O397" i="22" s="1"/>
  <c r="M397" i="22"/>
  <c r="N397" i="22"/>
  <c r="N395" i="22" s="1"/>
  <c r="K399" i="22"/>
  <c r="K400" i="22"/>
  <c r="I401" i="22"/>
  <c r="K401" i="22" s="1"/>
  <c r="J401" i="22"/>
  <c r="L403" i="22"/>
  <c r="O403" i="22" s="1"/>
  <c r="M403" i="22"/>
  <c r="P403" i="22" s="1"/>
  <c r="N403" i="22"/>
  <c r="O406" i="22"/>
  <c r="P406" i="22"/>
  <c r="L407" i="22"/>
  <c r="O407" i="22" s="1"/>
  <c r="M407" i="22"/>
  <c r="P407" i="22" s="1"/>
  <c r="N407" i="22"/>
  <c r="O409" i="22"/>
  <c r="P409" i="22"/>
  <c r="L410" i="22"/>
  <c r="O410" i="22" s="1"/>
  <c r="M410" i="22"/>
  <c r="P410" i="22" s="1"/>
  <c r="N410" i="22"/>
  <c r="N408" i="22" s="1"/>
  <c r="K412" i="22"/>
  <c r="K413" i="22"/>
  <c r="L420" i="22"/>
  <c r="O420" i="22" s="1"/>
  <c r="M420" i="22"/>
  <c r="N420" i="22"/>
  <c r="O423" i="22"/>
  <c r="P423" i="22"/>
  <c r="L424" i="22"/>
  <c r="M424" i="22" s="1"/>
  <c r="M421" i="22" s="1"/>
  <c r="N425" i="22"/>
  <c r="N424" i="22" s="1"/>
  <c r="N428" i="22"/>
  <c r="M429" i="22"/>
  <c r="P429" i="22" s="1"/>
  <c r="N429" i="22"/>
  <c r="O430" i="22"/>
  <c r="P430" i="22"/>
  <c r="L431" i="22"/>
  <c r="P431" i="22"/>
  <c r="J434" i="22"/>
  <c r="J418" i="22" s="1"/>
  <c r="I435" i="22"/>
  <c r="I433" i="22" s="1"/>
  <c r="I417" i="22" s="1"/>
  <c r="I437" i="22"/>
  <c r="I438" i="22"/>
  <c r="K438" i="22" s="1"/>
  <c r="I439" i="22"/>
  <c r="K439" i="22" s="1"/>
  <c r="I440" i="22"/>
  <c r="I441" i="22"/>
  <c r="K441" i="22" s="1"/>
  <c r="J442" i="22"/>
  <c r="J443" i="22"/>
  <c r="L445" i="22"/>
  <c r="O445" i="22" s="1"/>
  <c r="M445" i="22"/>
  <c r="P445" i="22" s="1"/>
  <c r="N445" i="22"/>
  <c r="O448" i="22"/>
  <c r="P448" i="22"/>
  <c r="L449" i="22"/>
  <c r="M449" i="22" s="1"/>
  <c r="P449" i="22" s="1"/>
  <c r="N450" i="22"/>
  <c r="N449" i="22" s="1"/>
  <c r="N453" i="22"/>
  <c r="M454" i="22"/>
  <c r="N454" i="22"/>
  <c r="P454" i="22"/>
  <c r="O455" i="22"/>
  <c r="P455" i="22"/>
  <c r="L456" i="22"/>
  <c r="L454" i="22" s="1"/>
  <c r="O454" i="22" s="1"/>
  <c r="P456" i="22"/>
  <c r="K458" i="22"/>
  <c r="I460" i="22"/>
  <c r="K460" i="22" s="1"/>
  <c r="I462" i="22"/>
  <c r="K462" i="22" s="1"/>
  <c r="I463" i="22"/>
  <c r="I464" i="22"/>
  <c r="I465" i="22"/>
  <c r="J465" i="22"/>
  <c r="I466" i="22"/>
  <c r="J466" i="22"/>
  <c r="L468" i="22"/>
  <c r="M468" i="22"/>
  <c r="N468" i="22"/>
  <c r="N467" i="22" s="1"/>
  <c r="O471" i="22"/>
  <c r="P471" i="22"/>
  <c r="L472" i="22"/>
  <c r="M472" i="22" s="1"/>
  <c r="N473" i="22"/>
  <c r="N476" i="22"/>
  <c r="N472" i="22" s="1"/>
  <c r="N469" i="22" s="1"/>
  <c r="M477" i="22"/>
  <c r="P477" i="22" s="1"/>
  <c r="N477" i="22"/>
  <c r="O478" i="22"/>
  <c r="P478" i="22"/>
  <c r="L479" i="22"/>
  <c r="O479" i="22" s="1"/>
  <c r="P479" i="22"/>
  <c r="I483" i="22"/>
  <c r="K483" i="22" s="1"/>
  <c r="I485" i="22"/>
  <c r="K485" i="22" s="1"/>
  <c r="I487" i="22"/>
  <c r="K487" i="22" s="1"/>
  <c r="I489" i="22"/>
  <c r="K489" i="22" s="1"/>
  <c r="I492" i="22"/>
  <c r="K492" i="22" s="1"/>
  <c r="I495" i="22"/>
  <c r="K495" i="22" s="1"/>
  <c r="I498" i="22"/>
  <c r="K498" i="22" s="1"/>
  <c r="J500" i="22"/>
  <c r="K500" i="22"/>
  <c r="K501" i="22"/>
  <c r="L503" i="22"/>
  <c r="L502" i="22" s="1"/>
  <c r="O502" i="22" s="1"/>
  <c r="M503" i="22"/>
  <c r="P503" i="22" s="1"/>
  <c r="N503" i="22"/>
  <c r="O503" i="22"/>
  <c r="L504" i="22"/>
  <c r="M504" i="22"/>
  <c r="O504" i="22"/>
  <c r="P504" i="22"/>
  <c r="L505" i="22"/>
  <c r="O505" i="22" s="1"/>
  <c r="M505" i="22"/>
  <c r="P505" i="22" s="1"/>
  <c r="O506" i="22"/>
  <c r="P506" i="22"/>
  <c r="N507" i="22"/>
  <c r="N505" i="22" s="1"/>
  <c r="O507" i="22"/>
  <c r="P507" i="22"/>
  <c r="L512" i="22"/>
  <c r="O512" i="22" s="1"/>
  <c r="M512" i="22"/>
  <c r="P512" i="22" s="1"/>
  <c r="N512" i="22"/>
  <c r="O513" i="22"/>
  <c r="P513" i="22"/>
  <c r="O514" i="22"/>
  <c r="P514" i="22"/>
  <c r="K516" i="22"/>
  <c r="J517" i="22"/>
  <c r="J501" i="22" s="1"/>
  <c r="K517" i="22"/>
  <c r="L524" i="22"/>
  <c r="M524" i="22"/>
  <c r="N524" i="22"/>
  <c r="O524" i="22"/>
  <c r="P524" i="22"/>
  <c r="M525" i="22"/>
  <c r="P525" i="22" s="1"/>
  <c r="M526" i="22"/>
  <c r="P526" i="22" s="1"/>
  <c r="O527" i="22"/>
  <c r="P527" i="22"/>
  <c r="L528" i="22"/>
  <c r="O528" i="22" s="1"/>
  <c r="N528" i="22"/>
  <c r="N525" i="22" s="1"/>
  <c r="P528" i="22"/>
  <c r="M533" i="22"/>
  <c r="P533" i="22" s="1"/>
  <c r="N533" i="22"/>
  <c r="O534" i="22"/>
  <c r="P534" i="22"/>
  <c r="L535" i="22"/>
  <c r="L533" i="22" s="1"/>
  <c r="O533" i="22" s="1"/>
  <c r="P535" i="22"/>
  <c r="I537" i="22"/>
  <c r="K537" i="22" s="1"/>
  <c r="I538" i="22"/>
  <c r="K538" i="22" s="1"/>
  <c r="I539" i="22"/>
  <c r="K539" i="22" s="1"/>
  <c r="I540" i="22"/>
  <c r="K540" i="22" s="1"/>
  <c r="I541" i="22"/>
  <c r="K541" i="22" s="1"/>
  <c r="I542" i="22"/>
  <c r="K542" i="22" s="1"/>
  <c r="L545" i="22"/>
  <c r="O545" i="22" s="1"/>
  <c r="O548" i="22"/>
  <c r="P548" i="22"/>
  <c r="L549" i="22"/>
  <c r="N549" i="22"/>
  <c r="N547" i="22" s="1"/>
  <c r="N553" i="22"/>
  <c r="M555" i="22"/>
  <c r="M545" i="22" s="1"/>
  <c r="N555" i="22"/>
  <c r="N545" i="22" s="1"/>
  <c r="P555" i="22"/>
  <c r="O556" i="22"/>
  <c r="P556" i="22"/>
  <c r="L557" i="22"/>
  <c r="L555" i="22" s="1"/>
  <c r="O555" i="22" s="1"/>
  <c r="P557" i="22"/>
  <c r="I560" i="22"/>
  <c r="J560" i="22"/>
  <c r="I561" i="22"/>
  <c r="K561" i="22" s="1"/>
  <c r="J561" i="22"/>
  <c r="I568" i="22"/>
  <c r="J568" i="22"/>
  <c r="I569" i="22"/>
  <c r="K569" i="22" s="1"/>
  <c r="J569" i="22"/>
  <c r="I576" i="22"/>
  <c r="I559" i="22" s="1"/>
  <c r="I543" i="22" s="1"/>
  <c r="J576" i="22"/>
  <c r="I577" i="22"/>
  <c r="J582" i="22"/>
  <c r="J583" i="22"/>
  <c r="J577" i="22" s="1"/>
  <c r="I593" i="22"/>
  <c r="I594" i="22"/>
  <c r="J594" i="22"/>
  <c r="J595" i="22"/>
  <c r="J593" i="22" s="1"/>
  <c r="J592" i="22" s="1"/>
  <c r="J596" i="22"/>
  <c r="J603" i="22"/>
  <c r="J604" i="22"/>
  <c r="J611" i="22"/>
  <c r="K611" i="22"/>
  <c r="J612" i="22"/>
  <c r="K612" i="22"/>
  <c r="J613" i="22"/>
  <c r="K613" i="22"/>
  <c r="I620" i="22"/>
  <c r="J620" i="22"/>
  <c r="I621" i="22"/>
  <c r="J621" i="22"/>
  <c r="L630" i="22"/>
  <c r="O630" i="22" s="1"/>
  <c r="M630" i="22"/>
  <c r="P630" i="22" s="1"/>
  <c r="N630" i="22"/>
  <c r="O633" i="22"/>
  <c r="P633" i="22"/>
  <c r="L634" i="22"/>
  <c r="N638" i="22"/>
  <c r="N634" i="22" s="1"/>
  <c r="M639" i="22"/>
  <c r="P639" i="22" s="1"/>
  <c r="N639" i="22"/>
  <c r="O640" i="22"/>
  <c r="P640" i="22"/>
  <c r="L641" i="22"/>
  <c r="L639" i="22" s="1"/>
  <c r="O639" i="22" s="1"/>
  <c r="P641" i="22"/>
  <c r="I643" i="22"/>
  <c r="K643" i="22" s="1"/>
  <c r="I644" i="22"/>
  <c r="K644" i="22" s="1"/>
  <c r="J645" i="22"/>
  <c r="K645" i="22"/>
  <c r="J646" i="22"/>
  <c r="K646" i="22"/>
  <c r="I647" i="22"/>
  <c r="J647" i="22"/>
  <c r="J648" i="22"/>
  <c r="K648" i="22"/>
  <c r="I649" i="22"/>
  <c r="J649" i="22"/>
  <c r="J650" i="22"/>
  <c r="K650" i="22"/>
  <c r="I651" i="22"/>
  <c r="I628" i="22" s="1"/>
  <c r="J651" i="22"/>
  <c r="J628" i="22" s="1"/>
  <c r="A652" i="22"/>
  <c r="J652" i="22"/>
  <c r="K652" i="22"/>
  <c r="L656" i="22"/>
  <c r="M656" i="22"/>
  <c r="P656" i="22" s="1"/>
  <c r="N656" i="22"/>
  <c r="O656" i="22"/>
  <c r="O659" i="22"/>
  <c r="P659" i="22"/>
  <c r="L660" i="22"/>
  <c r="L658" i="22" s="1"/>
  <c r="O658" i="22" s="1"/>
  <c r="N660" i="22"/>
  <c r="N658" i="22" s="1"/>
  <c r="L665" i="22"/>
  <c r="M665" i="22"/>
  <c r="P665" i="22" s="1"/>
  <c r="N665" i="22"/>
  <c r="O665" i="22"/>
  <c r="O666" i="22"/>
  <c r="P666" i="22"/>
  <c r="O667" i="22"/>
  <c r="P667" i="22"/>
  <c r="I669" i="22"/>
  <c r="I670" i="22"/>
  <c r="K670" i="22" s="1"/>
  <c r="I671" i="22"/>
  <c r="K671" i="22" s="1"/>
  <c r="J675" i="22"/>
  <c r="J669" i="22" s="1"/>
  <c r="J654" i="22" s="1"/>
  <c r="I678" i="22"/>
  <c r="K678" i="22" s="1"/>
  <c r="J679" i="22"/>
  <c r="J678" i="22" s="1"/>
  <c r="L686" i="22"/>
  <c r="M686" i="22"/>
  <c r="N686" i="22"/>
  <c r="O686" i="22"/>
  <c r="L690" i="22"/>
  <c r="L687" i="22" s="1"/>
  <c r="N690" i="22"/>
  <c r="N688" i="22" s="1"/>
  <c r="N694" i="22"/>
  <c r="L695" i="22"/>
  <c r="O695" i="22" s="1"/>
  <c r="M695" i="22"/>
  <c r="N695" i="22"/>
  <c r="P695" i="22"/>
  <c r="O696" i="22"/>
  <c r="P696" i="22"/>
  <c r="O697" i="22"/>
  <c r="P697" i="22"/>
  <c r="I699" i="22"/>
  <c r="K699" i="22" s="1"/>
  <c r="J699" i="22"/>
  <c r="I700" i="22"/>
  <c r="K700" i="22" s="1"/>
  <c r="J700" i="22"/>
  <c r="I701" i="22"/>
  <c r="J701" i="22"/>
  <c r="I704" i="22"/>
  <c r="I707" i="22"/>
  <c r="I708" i="22"/>
  <c r="J708" i="22"/>
  <c r="J718" i="22"/>
  <c r="J719" i="22"/>
  <c r="I720" i="22"/>
  <c r="J720" i="22"/>
  <c r="I721" i="22"/>
  <c r="I722" i="22"/>
  <c r="I723" i="22"/>
  <c r="J723" i="22"/>
  <c r="J724" i="22"/>
  <c r="I725" i="22"/>
  <c r="J725" i="22"/>
  <c r="I726" i="22"/>
  <c r="J726" i="22"/>
  <c r="J727" i="22"/>
  <c r="I728" i="22"/>
  <c r="J728" i="22"/>
  <c r="I729" i="22"/>
  <c r="J729" i="22"/>
  <c r="J736" i="22"/>
  <c r="K736" i="22"/>
  <c r="L738" i="22"/>
  <c r="M738" i="22"/>
  <c r="N738" i="22"/>
  <c r="P738" i="22"/>
  <c r="L739" i="22"/>
  <c r="O739" i="22" s="1"/>
  <c r="M739" i="22"/>
  <c r="P739" i="22" s="1"/>
  <c r="L740" i="22"/>
  <c r="O740" i="22" s="1"/>
  <c r="M740" i="22"/>
  <c r="N740" i="22"/>
  <c r="P740" i="22"/>
  <c r="O741" i="22"/>
  <c r="P741" i="22"/>
  <c r="N742" i="22"/>
  <c r="N739" i="22" s="1"/>
  <c r="O742" i="22"/>
  <c r="P742" i="22"/>
  <c r="L747" i="22"/>
  <c r="O747" i="22" s="1"/>
  <c r="M747" i="22"/>
  <c r="P747" i="22" s="1"/>
  <c r="N747" i="22"/>
  <c r="O748" i="22"/>
  <c r="P748" i="22"/>
  <c r="O749" i="22"/>
  <c r="P749" i="22"/>
  <c r="J753" i="22"/>
  <c r="K753" i="22"/>
  <c r="L755" i="22"/>
  <c r="L754" i="22" s="1"/>
  <c r="O754" i="22" s="1"/>
  <c r="M755" i="22"/>
  <c r="M754" i="22" s="1"/>
  <c r="P754" i="22" s="1"/>
  <c r="N755" i="22"/>
  <c r="L756" i="22"/>
  <c r="M756" i="22"/>
  <c r="P756" i="22" s="1"/>
  <c r="O756" i="22"/>
  <c r="L757" i="22"/>
  <c r="O757" i="22" s="1"/>
  <c r="M757" i="22"/>
  <c r="P757" i="22" s="1"/>
  <c r="O758" i="22"/>
  <c r="P758" i="22"/>
  <c r="N759" i="22"/>
  <c r="N756" i="22" s="1"/>
  <c r="O759" i="22"/>
  <c r="P759" i="22"/>
  <c r="L764" i="22"/>
  <c r="O764" i="22" s="1"/>
  <c r="M764" i="22"/>
  <c r="N764" i="22"/>
  <c r="P764" i="22"/>
  <c r="O765" i="22"/>
  <c r="P765" i="22"/>
  <c r="O766" i="22"/>
  <c r="P766" i="22"/>
  <c r="J769" i="22"/>
  <c r="K769" i="22"/>
  <c r="L771" i="22"/>
  <c r="M771" i="22"/>
  <c r="N771" i="22"/>
  <c r="P771" i="22"/>
  <c r="L772" i="22"/>
  <c r="O772" i="22" s="1"/>
  <c r="M772" i="22"/>
  <c r="P772" i="22" s="1"/>
  <c r="L773" i="22"/>
  <c r="O773" i="22" s="1"/>
  <c r="M773" i="22"/>
  <c r="N773" i="22"/>
  <c r="P773" i="22"/>
  <c r="O774" i="22"/>
  <c r="P774" i="22"/>
  <c r="N775" i="22"/>
  <c r="N772" i="22" s="1"/>
  <c r="O775" i="22"/>
  <c r="P775" i="22"/>
  <c r="L780" i="22"/>
  <c r="O780" i="22" s="1"/>
  <c r="M780" i="22"/>
  <c r="P780" i="22" s="1"/>
  <c r="N780" i="22"/>
  <c r="O781" i="22"/>
  <c r="P781" i="22"/>
  <c r="O782" i="22"/>
  <c r="P782" i="22"/>
  <c r="L787" i="22"/>
  <c r="M787" i="22"/>
  <c r="P787" i="22" s="1"/>
  <c r="N787" i="22"/>
  <c r="O787" i="22"/>
  <c r="M788" i="22"/>
  <c r="P788" i="22" s="1"/>
  <c r="M789" i="22"/>
  <c r="P789" i="22" s="1"/>
  <c r="O790" i="22"/>
  <c r="P790" i="22"/>
  <c r="L791" i="22"/>
  <c r="L789" i="22" s="1"/>
  <c r="O789" i="22" s="1"/>
  <c r="N791" i="22"/>
  <c r="N789" i="22" s="1"/>
  <c r="P791" i="22"/>
  <c r="L796" i="22"/>
  <c r="O796" i="22" s="1"/>
  <c r="M796" i="22"/>
  <c r="N796" i="22"/>
  <c r="P796" i="22"/>
  <c r="O797" i="22"/>
  <c r="P797" i="22"/>
  <c r="O798" i="22"/>
  <c r="P798" i="22"/>
  <c r="I800" i="22"/>
  <c r="I785" i="22" s="1"/>
  <c r="K785" i="22" s="1"/>
  <c r="J800" i="22"/>
  <c r="J785" i="22" s="1"/>
  <c r="J801" i="22"/>
  <c r="K802" i="22"/>
  <c r="J804" i="22"/>
  <c r="K804" i="22"/>
  <c r="L806" i="22"/>
  <c r="M806" i="22"/>
  <c r="P806" i="22" s="1"/>
  <c r="N806" i="22"/>
  <c r="O806" i="22"/>
  <c r="L807" i="22"/>
  <c r="O807" i="22" s="1"/>
  <c r="M807" i="22"/>
  <c r="P807" i="22" s="1"/>
  <c r="L808" i="22"/>
  <c r="M808" i="22"/>
  <c r="P808" i="22" s="1"/>
  <c r="O808" i="22"/>
  <c r="O809" i="22"/>
  <c r="P809" i="22"/>
  <c r="N810" i="22"/>
  <c r="N808" i="22" s="1"/>
  <c r="O810" i="22"/>
  <c r="P810" i="22"/>
  <c r="L815" i="22"/>
  <c r="O815" i="22" s="1"/>
  <c r="M815" i="22"/>
  <c r="P815" i="22" s="1"/>
  <c r="N815" i="22"/>
  <c r="O816" i="22"/>
  <c r="P816" i="22"/>
  <c r="O817" i="22"/>
  <c r="P817" i="22"/>
  <c r="H820" i="22"/>
  <c r="I821" i="22"/>
  <c r="J821" i="22"/>
  <c r="I822" i="22"/>
  <c r="J822" i="22"/>
  <c r="I823" i="22"/>
  <c r="J823" i="22"/>
  <c r="I824" i="22"/>
  <c r="J824" i="22"/>
  <c r="I825" i="22"/>
  <c r="J825" i="22"/>
  <c r="I826" i="22"/>
  <c r="J826" i="22"/>
  <c r="I827" i="22"/>
  <c r="J827" i="22"/>
  <c r="I828" i="22"/>
  <c r="J828" i="22"/>
  <c r="L22" i="21"/>
  <c r="M22" i="21"/>
  <c r="P22" i="21" s="1"/>
  <c r="N22" i="21"/>
  <c r="L25" i="21"/>
  <c r="L15" i="21" s="1"/>
  <c r="M25" i="21"/>
  <c r="N25" i="21"/>
  <c r="O25" i="21"/>
  <c r="L32" i="21"/>
  <c r="O32" i="21" s="1"/>
  <c r="M32" i="21"/>
  <c r="N32" i="21"/>
  <c r="L35" i="21"/>
  <c r="M35" i="21"/>
  <c r="P35" i="21" s="1"/>
  <c r="N35" i="21"/>
  <c r="N34" i="21" s="1"/>
  <c r="M36" i="21"/>
  <c r="P36" i="21" s="1"/>
  <c r="N36" i="21"/>
  <c r="L42" i="21"/>
  <c r="M42" i="21"/>
  <c r="P42" i="21" s="1"/>
  <c r="N42" i="21"/>
  <c r="O45" i="21"/>
  <c r="P45" i="21"/>
  <c r="L46" i="21"/>
  <c r="L44" i="21" s="1"/>
  <c r="M46" i="21"/>
  <c r="N46" i="21"/>
  <c r="N44" i="21" s="1"/>
  <c r="O48" i="21"/>
  <c r="P48" i="21"/>
  <c r="L49" i="21"/>
  <c r="O49" i="21" s="1"/>
  <c r="M49" i="21"/>
  <c r="N49" i="21"/>
  <c r="N47" i="21" s="1"/>
  <c r="L54" i="21"/>
  <c r="O54" i="21" s="1"/>
  <c r="M54" i="21"/>
  <c r="N54" i="21"/>
  <c r="O57" i="21"/>
  <c r="P57" i="21"/>
  <c r="L58" i="21"/>
  <c r="M58" i="21"/>
  <c r="M56" i="21" s="1"/>
  <c r="N58" i="21"/>
  <c r="O60" i="21"/>
  <c r="P60" i="21"/>
  <c r="L61" i="21"/>
  <c r="M61" i="21"/>
  <c r="M59" i="21" s="1"/>
  <c r="P59" i="21" s="1"/>
  <c r="N61" i="21"/>
  <c r="J64" i="21"/>
  <c r="L67" i="21"/>
  <c r="M67" i="21"/>
  <c r="P67" i="21" s="1"/>
  <c r="N67" i="21"/>
  <c r="O70" i="21"/>
  <c r="P70" i="21"/>
  <c r="L71" i="21"/>
  <c r="L69" i="21" s="1"/>
  <c r="O69" i="21" s="1"/>
  <c r="M71" i="21"/>
  <c r="N71" i="21"/>
  <c r="O73" i="21"/>
  <c r="P73" i="21"/>
  <c r="L74" i="21"/>
  <c r="L72" i="21" s="1"/>
  <c r="O72" i="21" s="1"/>
  <c r="M74" i="21"/>
  <c r="N74" i="21"/>
  <c r="N72" i="21" s="1"/>
  <c r="J76" i="21"/>
  <c r="J77" i="21"/>
  <c r="J65" i="21" s="1"/>
  <c r="I78" i="21"/>
  <c r="K78" i="21" s="1"/>
  <c r="I79" i="21"/>
  <c r="I80" i="21"/>
  <c r="K80" i="21" s="1"/>
  <c r="I81" i="21"/>
  <c r="K81" i="21" s="1"/>
  <c r="I82" i="21"/>
  <c r="K82" i="21" s="1"/>
  <c r="I83" i="21"/>
  <c r="K83" i="21" s="1"/>
  <c r="I84" i="21"/>
  <c r="K84" i="21" s="1"/>
  <c r="L89" i="21"/>
  <c r="M89" i="21"/>
  <c r="N89" i="21"/>
  <c r="O89" i="21"/>
  <c r="O92" i="21"/>
  <c r="P92" i="21"/>
  <c r="L93" i="21"/>
  <c r="M93" i="21"/>
  <c r="M91" i="21" s="1"/>
  <c r="N93" i="21"/>
  <c r="O95" i="21"/>
  <c r="P95" i="21"/>
  <c r="L96" i="21"/>
  <c r="M96" i="21"/>
  <c r="M94" i="21" s="1"/>
  <c r="P94" i="21" s="1"/>
  <c r="N96" i="21"/>
  <c r="N94" i="21" s="1"/>
  <c r="I98" i="21"/>
  <c r="I86" i="21" s="1"/>
  <c r="K86" i="21" s="1"/>
  <c r="J98" i="21"/>
  <c r="J86" i="21" s="1"/>
  <c r="I99" i="21"/>
  <c r="I87" i="21" s="1"/>
  <c r="K87" i="21" s="1"/>
  <c r="J99" i="21"/>
  <c r="J87" i="21" s="1"/>
  <c r="I100" i="21"/>
  <c r="J100" i="21"/>
  <c r="I102" i="21"/>
  <c r="K102" i="21" s="1"/>
  <c r="I103" i="21"/>
  <c r="K103" i="21" s="1"/>
  <c r="I104" i="21"/>
  <c r="K104" i="21" s="1"/>
  <c r="I106" i="21"/>
  <c r="K106" i="21" s="1"/>
  <c r="I107" i="21"/>
  <c r="K107" i="21" s="1"/>
  <c r="I109" i="21"/>
  <c r="K109" i="21" s="1"/>
  <c r="I110" i="21"/>
  <c r="K110" i="21" s="1"/>
  <c r="I111" i="21"/>
  <c r="K111" i="21" s="1"/>
  <c r="J111" i="21"/>
  <c r="J112" i="21"/>
  <c r="I113" i="21"/>
  <c r="K113" i="21" s="1"/>
  <c r="I114" i="21"/>
  <c r="K114" i="21" s="1"/>
  <c r="I115" i="21"/>
  <c r="I116" i="21"/>
  <c r="K116" i="21" s="1"/>
  <c r="L120" i="21"/>
  <c r="O120" i="21" s="1"/>
  <c r="M120" i="21"/>
  <c r="N120" i="21"/>
  <c r="O123" i="21"/>
  <c r="P123" i="21"/>
  <c r="L124" i="21"/>
  <c r="M124" i="21"/>
  <c r="M122" i="21" s="1"/>
  <c r="P122" i="21" s="1"/>
  <c r="N124" i="21"/>
  <c r="N122" i="21" s="1"/>
  <c r="O126" i="21"/>
  <c r="P126" i="21"/>
  <c r="L127" i="21"/>
  <c r="M127" i="21"/>
  <c r="M125" i="21" s="1"/>
  <c r="P125" i="21" s="1"/>
  <c r="N127" i="21"/>
  <c r="N125" i="21" s="1"/>
  <c r="J130" i="21"/>
  <c r="L133" i="21"/>
  <c r="M133" i="21"/>
  <c r="N133" i="21"/>
  <c r="P133" i="21"/>
  <c r="O136" i="21"/>
  <c r="P136" i="21"/>
  <c r="L137" i="21"/>
  <c r="M137" i="21"/>
  <c r="N137" i="21"/>
  <c r="N135" i="21" s="1"/>
  <c r="O139" i="21"/>
  <c r="P139" i="21"/>
  <c r="L140" i="21"/>
  <c r="O140" i="21" s="1"/>
  <c r="M140" i="21"/>
  <c r="N140" i="21"/>
  <c r="N138" i="21" s="1"/>
  <c r="I144" i="21"/>
  <c r="I145" i="21"/>
  <c r="K145" i="21" s="1"/>
  <c r="I146" i="21"/>
  <c r="I130" i="21" s="1"/>
  <c r="K130" i="21" s="1"/>
  <c r="J148" i="21"/>
  <c r="L150" i="21"/>
  <c r="M150" i="21"/>
  <c r="N150" i="21"/>
  <c r="O150" i="21"/>
  <c r="O153" i="21"/>
  <c r="P153" i="21"/>
  <c r="L154" i="21"/>
  <c r="M154" i="21"/>
  <c r="M152" i="21" s="1"/>
  <c r="P152" i="21" s="1"/>
  <c r="N154" i="21"/>
  <c r="N152" i="21" s="1"/>
  <c r="O156" i="21"/>
  <c r="P156" i="21"/>
  <c r="L157" i="21"/>
  <c r="L155" i="21" s="1"/>
  <c r="O155" i="21" s="1"/>
  <c r="M157" i="21"/>
  <c r="M155" i="21" s="1"/>
  <c r="P155" i="21" s="1"/>
  <c r="N157" i="21"/>
  <c r="N155" i="21" s="1"/>
  <c r="I159" i="21"/>
  <c r="I148" i="21" s="1"/>
  <c r="K148" i="21" s="1"/>
  <c r="L166" i="21"/>
  <c r="M166" i="21"/>
  <c r="N166" i="21"/>
  <c r="O166" i="21"/>
  <c r="O169" i="21"/>
  <c r="P169" i="21"/>
  <c r="L170" i="21"/>
  <c r="M170" i="21"/>
  <c r="N170" i="21"/>
  <c r="O172" i="21"/>
  <c r="P172" i="21"/>
  <c r="L173" i="21"/>
  <c r="M173" i="21"/>
  <c r="M171" i="21" s="1"/>
  <c r="P171" i="21" s="1"/>
  <c r="N173" i="21"/>
  <c r="N171" i="21" s="1"/>
  <c r="J174" i="21"/>
  <c r="J164" i="21" s="1"/>
  <c r="I176" i="21"/>
  <c r="J177" i="21"/>
  <c r="L182" i="21"/>
  <c r="M182" i="21"/>
  <c r="N182" i="21"/>
  <c r="O185" i="21"/>
  <c r="P185" i="21"/>
  <c r="L186" i="21"/>
  <c r="M186" i="21"/>
  <c r="M184" i="21" s="1"/>
  <c r="N186" i="21"/>
  <c r="O188" i="21"/>
  <c r="P188" i="21"/>
  <c r="L189" i="21"/>
  <c r="M189" i="21"/>
  <c r="P189" i="21" s="1"/>
  <c r="N189" i="21"/>
  <c r="N187" i="21" s="1"/>
  <c r="J190" i="21"/>
  <c r="L191" i="21"/>
  <c r="O191" i="21" s="1"/>
  <c r="P191" i="21"/>
  <c r="I193" i="21"/>
  <c r="I190" i="21" s="1"/>
  <c r="J194" i="21"/>
  <c r="J197" i="21"/>
  <c r="N198" i="21"/>
  <c r="P198" i="21"/>
  <c r="L199" i="21"/>
  <c r="L200" i="21"/>
  <c r="L201" i="21"/>
  <c r="L202" i="21"/>
  <c r="I204" i="21"/>
  <c r="K204" i="21" s="1"/>
  <c r="J208" i="21"/>
  <c r="N209" i="21"/>
  <c r="P209" i="21"/>
  <c r="L210" i="21"/>
  <c r="L211" i="21"/>
  <c r="L212" i="21"/>
  <c r="I214" i="21"/>
  <c r="K214" i="21" s="1"/>
  <c r="I215" i="21"/>
  <c r="K215" i="21" s="1"/>
  <c r="J216" i="21"/>
  <c r="N217" i="21"/>
  <c r="P217" i="21"/>
  <c r="L218" i="21"/>
  <c r="L219" i="21"/>
  <c r="L220" i="21"/>
  <c r="I223" i="21"/>
  <c r="K223" i="21" s="1"/>
  <c r="I224" i="21"/>
  <c r="I216" i="21" s="1"/>
  <c r="I225" i="21"/>
  <c r="N228" i="21"/>
  <c r="N229" i="21"/>
  <c r="N230" i="21"/>
  <c r="N231" i="21"/>
  <c r="J233" i="21"/>
  <c r="I235" i="21"/>
  <c r="K235" i="21" s="1"/>
  <c r="J235" i="21"/>
  <c r="I236" i="21"/>
  <c r="J236" i="21"/>
  <c r="K236" i="21"/>
  <c r="J237" i="21"/>
  <c r="J226" i="21" s="1"/>
  <c r="J180" i="21" s="1"/>
  <c r="N238" i="21"/>
  <c r="P238" i="21"/>
  <c r="L239" i="21"/>
  <c r="L240" i="21"/>
  <c r="L241" i="21"/>
  <c r="L242" i="21"/>
  <c r="I244" i="21"/>
  <c r="K246" i="21"/>
  <c r="K247" i="21"/>
  <c r="J248" i="21"/>
  <c r="N249" i="21"/>
  <c r="P249" i="21"/>
  <c r="L250" i="21"/>
  <c r="L251" i="21"/>
  <c r="L252" i="21"/>
  <c r="L253" i="21"/>
  <c r="I255" i="21"/>
  <c r="K257" i="21"/>
  <c r="K258" i="21"/>
  <c r="J260" i="21"/>
  <c r="L262" i="21"/>
  <c r="M262" i="21"/>
  <c r="N262" i="21"/>
  <c r="O265" i="21"/>
  <c r="P265" i="21"/>
  <c r="L266" i="21"/>
  <c r="M266" i="21"/>
  <c r="M264" i="21" s="1"/>
  <c r="N266" i="21"/>
  <c r="N264" i="21" s="1"/>
  <c r="O268" i="21"/>
  <c r="P268" i="21"/>
  <c r="L269" i="21"/>
  <c r="O269" i="21" s="1"/>
  <c r="M269" i="21"/>
  <c r="M267" i="21" s="1"/>
  <c r="P267" i="21" s="1"/>
  <c r="N269" i="21"/>
  <c r="I271" i="21"/>
  <c r="K271" i="21" s="1"/>
  <c r="J276" i="21"/>
  <c r="L278" i="21"/>
  <c r="M278" i="21"/>
  <c r="P278" i="21" s="1"/>
  <c r="N278" i="21"/>
  <c r="O281" i="21"/>
  <c r="P281" i="21"/>
  <c r="L282" i="21"/>
  <c r="O282" i="21" s="1"/>
  <c r="M282" i="21"/>
  <c r="M280" i="21" s="1"/>
  <c r="P280" i="21" s="1"/>
  <c r="N282" i="21"/>
  <c r="O284" i="21"/>
  <c r="P284" i="21"/>
  <c r="L285" i="21"/>
  <c r="L283" i="21" s="1"/>
  <c r="O283" i="21" s="1"/>
  <c r="M285" i="21"/>
  <c r="M283" i="21" s="1"/>
  <c r="P283" i="21" s="1"/>
  <c r="N285" i="21"/>
  <c r="N283" i="21" s="1"/>
  <c r="I287" i="21"/>
  <c r="K287" i="21" s="1"/>
  <c r="I288" i="21"/>
  <c r="J288" i="21" s="1"/>
  <c r="J275" i="21" s="1"/>
  <c r="I290" i="21"/>
  <c r="K290" i="21" s="1"/>
  <c r="I291" i="21"/>
  <c r="K291" i="21" s="1"/>
  <c r="I293" i="21"/>
  <c r="K293" i="21" s="1"/>
  <c r="I294" i="21"/>
  <c r="K294" i="21" s="1"/>
  <c r="J297" i="21"/>
  <c r="L299" i="21"/>
  <c r="M299" i="21"/>
  <c r="N299" i="21"/>
  <c r="O302" i="21"/>
  <c r="P302" i="21"/>
  <c r="L303" i="21"/>
  <c r="L301" i="21" s="1"/>
  <c r="O301" i="21" s="1"/>
  <c r="M303" i="21"/>
  <c r="N303" i="21"/>
  <c r="N301" i="21" s="1"/>
  <c r="O305" i="21"/>
  <c r="P305" i="21"/>
  <c r="L306" i="21"/>
  <c r="L304" i="21" s="1"/>
  <c r="O304" i="21" s="1"/>
  <c r="M306" i="21"/>
  <c r="M304" i="21" s="1"/>
  <c r="P304" i="21" s="1"/>
  <c r="N306" i="21"/>
  <c r="N304" i="21" s="1"/>
  <c r="I309" i="21"/>
  <c r="I297" i="21" s="1"/>
  <c r="K297" i="21" s="1"/>
  <c r="I310" i="21"/>
  <c r="K310" i="21" s="1"/>
  <c r="I311" i="21"/>
  <c r="K311" i="21" s="1"/>
  <c r="I312" i="21"/>
  <c r="K312" i="21" s="1"/>
  <c r="J314" i="21"/>
  <c r="L316" i="21"/>
  <c r="M316" i="21"/>
  <c r="N316" i="21"/>
  <c r="O316" i="21"/>
  <c r="P316" i="21"/>
  <c r="O319" i="21"/>
  <c r="P319" i="21"/>
  <c r="L320" i="21"/>
  <c r="L318" i="21" s="1"/>
  <c r="O318" i="21" s="1"/>
  <c r="M320" i="21"/>
  <c r="M318" i="21" s="1"/>
  <c r="P318" i="21" s="1"/>
  <c r="N320" i="21"/>
  <c r="N318" i="21" s="1"/>
  <c r="O322" i="21"/>
  <c r="P322" i="21"/>
  <c r="L323" i="21"/>
  <c r="O323" i="21" s="1"/>
  <c r="M323" i="21"/>
  <c r="M321" i="21" s="1"/>
  <c r="P321" i="21" s="1"/>
  <c r="N323" i="21"/>
  <c r="N321" i="21" s="1"/>
  <c r="I325" i="21"/>
  <c r="I314" i="21" s="1"/>
  <c r="K314" i="21" s="1"/>
  <c r="I327" i="21"/>
  <c r="L329" i="21"/>
  <c r="M329" i="21"/>
  <c r="N329" i="21"/>
  <c r="O329" i="21"/>
  <c r="O332" i="21"/>
  <c r="P332" i="21"/>
  <c r="L333" i="21"/>
  <c r="L331" i="21" s="1"/>
  <c r="M333" i="21"/>
  <c r="M331" i="21" s="1"/>
  <c r="N333" i="21"/>
  <c r="N331" i="21" s="1"/>
  <c r="O335" i="21"/>
  <c r="P335" i="21"/>
  <c r="L336" i="21"/>
  <c r="L334" i="21" s="1"/>
  <c r="O334" i="21" s="1"/>
  <c r="M336" i="21"/>
  <c r="M334" i="21" s="1"/>
  <c r="P334" i="21" s="1"/>
  <c r="N336" i="21"/>
  <c r="N334" i="21" s="1"/>
  <c r="D337" i="21"/>
  <c r="I338" i="21"/>
  <c r="J338" i="21"/>
  <c r="I340" i="21"/>
  <c r="J340" i="21"/>
  <c r="J341" i="21"/>
  <c r="J342" i="21"/>
  <c r="J343" i="21"/>
  <c r="L346" i="21"/>
  <c r="M346" i="21"/>
  <c r="P346" i="21" s="1"/>
  <c r="N346" i="21"/>
  <c r="O346" i="21"/>
  <c r="O349" i="21"/>
  <c r="P349" i="21"/>
  <c r="L350" i="21"/>
  <c r="M350" i="21"/>
  <c r="N350" i="21"/>
  <c r="N348" i="21" s="1"/>
  <c r="O352" i="21"/>
  <c r="P352" i="21"/>
  <c r="L353" i="21"/>
  <c r="L351" i="21" s="1"/>
  <c r="M353" i="21"/>
  <c r="M351" i="21" s="1"/>
  <c r="N353" i="21"/>
  <c r="I355" i="21"/>
  <c r="K355" i="21" s="1"/>
  <c r="J358" i="21"/>
  <c r="K358" i="21"/>
  <c r="I359" i="21"/>
  <c r="K359" i="21" s="1"/>
  <c r="J359" i="21"/>
  <c r="I360" i="21"/>
  <c r="K360" i="21" s="1"/>
  <c r="J360" i="21"/>
  <c r="J361" i="21"/>
  <c r="K361" i="21"/>
  <c r="I362" i="21"/>
  <c r="K362" i="21" s="1"/>
  <c r="J362" i="21"/>
  <c r="J355" i="21" s="1"/>
  <c r="J363" i="21"/>
  <c r="K363" i="21"/>
  <c r="I365" i="21"/>
  <c r="K365" i="21" s="1"/>
  <c r="J368" i="21"/>
  <c r="K368" i="21"/>
  <c r="I369" i="21"/>
  <c r="K369" i="21" s="1"/>
  <c r="J369" i="21"/>
  <c r="I370" i="21"/>
  <c r="K370" i="21" s="1"/>
  <c r="J370" i="21"/>
  <c r="J371" i="21"/>
  <c r="K371" i="21"/>
  <c r="I372" i="21"/>
  <c r="K372" i="21" s="1"/>
  <c r="J372" i="21"/>
  <c r="J365" i="21" s="1"/>
  <c r="J373" i="21"/>
  <c r="K373" i="21"/>
  <c r="I374" i="21"/>
  <c r="K374" i="21" s="1"/>
  <c r="J377" i="21"/>
  <c r="K377" i="21"/>
  <c r="I378" i="21"/>
  <c r="K378" i="21" s="1"/>
  <c r="J378" i="21"/>
  <c r="I379" i="21"/>
  <c r="K379" i="21" s="1"/>
  <c r="J379" i="21"/>
  <c r="J380" i="21"/>
  <c r="K380" i="21"/>
  <c r="I381" i="21"/>
  <c r="K381" i="21" s="1"/>
  <c r="J381" i="21"/>
  <c r="J374" i="21" s="1"/>
  <c r="J382" i="21"/>
  <c r="K382" i="21"/>
  <c r="I385" i="21"/>
  <c r="K385" i="21" s="1"/>
  <c r="J385" i="21"/>
  <c r="I388" i="21"/>
  <c r="J388" i="21"/>
  <c r="K388" i="21"/>
  <c r="L390" i="21"/>
  <c r="M390" i="21"/>
  <c r="P390" i="21" s="1"/>
  <c r="N390" i="21"/>
  <c r="O390" i="21"/>
  <c r="O393" i="21"/>
  <c r="P393" i="21"/>
  <c r="L394" i="21"/>
  <c r="M394" i="21"/>
  <c r="M392" i="21" s="1"/>
  <c r="P392" i="21" s="1"/>
  <c r="N394" i="21"/>
  <c r="N392" i="21" s="1"/>
  <c r="O396" i="21"/>
  <c r="P396" i="21"/>
  <c r="L397" i="21"/>
  <c r="O397" i="21" s="1"/>
  <c r="M397" i="21"/>
  <c r="M395" i="21" s="1"/>
  <c r="P395" i="21" s="1"/>
  <c r="N397" i="21"/>
  <c r="K399" i="21"/>
  <c r="K400" i="21"/>
  <c r="I401" i="21"/>
  <c r="K401" i="21" s="1"/>
  <c r="J401" i="21"/>
  <c r="L403" i="21"/>
  <c r="O403" i="21" s="1"/>
  <c r="M403" i="21"/>
  <c r="P403" i="21" s="1"/>
  <c r="N403" i="21"/>
  <c r="O406" i="21"/>
  <c r="P406" i="21"/>
  <c r="L407" i="21"/>
  <c r="L405" i="21" s="1"/>
  <c r="O405" i="21" s="1"/>
  <c r="M407" i="21"/>
  <c r="P407" i="21" s="1"/>
  <c r="N407" i="21"/>
  <c r="O409" i="21"/>
  <c r="P409" i="21"/>
  <c r="L410" i="21"/>
  <c r="L408" i="21" s="1"/>
  <c r="O408" i="21" s="1"/>
  <c r="M410" i="21"/>
  <c r="P410" i="21" s="1"/>
  <c r="N410" i="21"/>
  <c r="N408" i="21" s="1"/>
  <c r="K412" i="21"/>
  <c r="K413" i="21"/>
  <c r="L420" i="21"/>
  <c r="O420" i="21" s="1"/>
  <c r="M420" i="21"/>
  <c r="P420" i="21" s="1"/>
  <c r="N420" i="21"/>
  <c r="O423" i="21"/>
  <c r="P423" i="21"/>
  <c r="L424" i="21"/>
  <c r="M424" i="21" s="1"/>
  <c r="M421" i="21" s="1"/>
  <c r="M419" i="21" s="1"/>
  <c r="N424" i="21"/>
  <c r="M429" i="21"/>
  <c r="P429" i="21" s="1"/>
  <c r="N429" i="21"/>
  <c r="O430" i="21"/>
  <c r="P430" i="21"/>
  <c r="L431" i="21"/>
  <c r="L429" i="21" s="1"/>
  <c r="O429" i="21" s="1"/>
  <c r="P431" i="21"/>
  <c r="J434" i="21"/>
  <c r="J418" i="21" s="1"/>
  <c r="I435" i="21"/>
  <c r="K435" i="21" s="1"/>
  <c r="I437" i="21"/>
  <c r="K437" i="21" s="1"/>
  <c r="I438" i="21"/>
  <c r="I439" i="21"/>
  <c r="K439" i="21" s="1"/>
  <c r="I440" i="21"/>
  <c r="K440" i="21" s="1"/>
  <c r="I441" i="21"/>
  <c r="K441" i="21" s="1"/>
  <c r="J442" i="21"/>
  <c r="J443" i="21"/>
  <c r="L445" i="21"/>
  <c r="O445" i="21" s="1"/>
  <c r="M445" i="21"/>
  <c r="P445" i="21" s="1"/>
  <c r="N445" i="21"/>
  <c r="M446" i="21"/>
  <c r="N446" i="21"/>
  <c r="P446" i="21"/>
  <c r="M447" i="21"/>
  <c r="P447" i="21" s="1"/>
  <c r="O448" i="21"/>
  <c r="P448" i="21"/>
  <c r="L449" i="21"/>
  <c r="L447" i="21" s="1"/>
  <c r="O447" i="21" s="1"/>
  <c r="N449" i="21"/>
  <c r="N447" i="21" s="1"/>
  <c r="P449" i="21"/>
  <c r="M454" i="21"/>
  <c r="N454" i="21"/>
  <c r="P454" i="21"/>
  <c r="O455" i="21"/>
  <c r="P455" i="21"/>
  <c r="L456" i="21"/>
  <c r="P456" i="21"/>
  <c r="K458" i="21"/>
  <c r="I460" i="21"/>
  <c r="K460" i="21" s="1"/>
  <c r="I462" i="21"/>
  <c r="K462" i="21" s="1"/>
  <c r="I463" i="21"/>
  <c r="I464" i="21"/>
  <c r="I465" i="21"/>
  <c r="K465" i="21" s="1"/>
  <c r="J465" i="21"/>
  <c r="I466" i="21"/>
  <c r="K466" i="21" s="1"/>
  <c r="J466" i="21"/>
  <c r="L468" i="21"/>
  <c r="O468" i="21" s="1"/>
  <c r="M468" i="21"/>
  <c r="N468" i="21"/>
  <c r="M469" i="21"/>
  <c r="P469" i="21" s="1"/>
  <c r="M470" i="21"/>
  <c r="P470" i="21" s="1"/>
  <c r="O471" i="21"/>
  <c r="P471" i="21"/>
  <c r="L472" i="21"/>
  <c r="L470" i="21" s="1"/>
  <c r="O470" i="21" s="1"/>
  <c r="N472" i="21"/>
  <c r="N469" i="21" s="1"/>
  <c r="N467" i="21" s="1"/>
  <c r="P472" i="21"/>
  <c r="M477" i="21"/>
  <c r="P477" i="21" s="1"/>
  <c r="N477" i="21"/>
  <c r="O478" i="21"/>
  <c r="P478" i="21"/>
  <c r="L479" i="21"/>
  <c r="O479" i="21" s="1"/>
  <c r="P479" i="21"/>
  <c r="I483" i="21"/>
  <c r="K483" i="21" s="1"/>
  <c r="I485" i="21"/>
  <c r="K485" i="21" s="1"/>
  <c r="I487" i="21"/>
  <c r="K487" i="21" s="1"/>
  <c r="I489" i="21"/>
  <c r="K489" i="21" s="1"/>
  <c r="I492" i="21"/>
  <c r="K492" i="21" s="1"/>
  <c r="I495" i="21"/>
  <c r="K495" i="21" s="1"/>
  <c r="I498" i="21"/>
  <c r="K498" i="21" s="1"/>
  <c r="J500" i="21"/>
  <c r="K500" i="21"/>
  <c r="K501" i="21"/>
  <c r="L503" i="21"/>
  <c r="O503" i="21" s="1"/>
  <c r="M503" i="21"/>
  <c r="M502" i="21" s="1"/>
  <c r="P502" i="21" s="1"/>
  <c r="N503" i="21"/>
  <c r="L504" i="21"/>
  <c r="M504" i="21"/>
  <c r="P504" i="21" s="1"/>
  <c r="N504" i="21"/>
  <c r="N502" i="21" s="1"/>
  <c r="O504" i="21"/>
  <c r="L505" i="21"/>
  <c r="M505" i="21"/>
  <c r="N505" i="21"/>
  <c r="O505" i="21"/>
  <c r="P505" i="21"/>
  <c r="O506" i="21"/>
  <c r="P506" i="21"/>
  <c r="N507" i="21"/>
  <c r="O507" i="21"/>
  <c r="P507" i="21"/>
  <c r="L512" i="21"/>
  <c r="O512" i="21" s="1"/>
  <c r="M512" i="21"/>
  <c r="P512" i="21" s="1"/>
  <c r="N512" i="21"/>
  <c r="O513" i="21"/>
  <c r="P513" i="21"/>
  <c r="O514" i="21"/>
  <c r="P514" i="21"/>
  <c r="K516" i="21"/>
  <c r="J517" i="21"/>
  <c r="J501" i="21" s="1"/>
  <c r="K517" i="21"/>
  <c r="L524" i="21"/>
  <c r="M524" i="21"/>
  <c r="N524" i="21"/>
  <c r="N523" i="21" s="1"/>
  <c r="P524" i="21"/>
  <c r="M525" i="21"/>
  <c r="P525" i="21" s="1"/>
  <c r="M526" i="21"/>
  <c r="P526" i="21" s="1"/>
  <c r="O527" i="21"/>
  <c r="P527" i="21"/>
  <c r="L528" i="21"/>
  <c r="N528" i="21"/>
  <c r="N525" i="21" s="1"/>
  <c r="P528" i="21"/>
  <c r="M533" i="21"/>
  <c r="P533" i="21" s="1"/>
  <c r="N533" i="21"/>
  <c r="O534" i="21"/>
  <c r="P534" i="21"/>
  <c r="L535" i="21"/>
  <c r="L533" i="21" s="1"/>
  <c r="O533" i="21" s="1"/>
  <c r="P535" i="21"/>
  <c r="I537" i="21"/>
  <c r="K537" i="21" s="1"/>
  <c r="I538" i="21"/>
  <c r="K538" i="21" s="1"/>
  <c r="I539" i="21"/>
  <c r="K539" i="21" s="1"/>
  <c r="I540" i="21"/>
  <c r="I541" i="21"/>
  <c r="K541" i="21" s="1"/>
  <c r="I542" i="21"/>
  <c r="K542" i="21" s="1"/>
  <c r="L545" i="21"/>
  <c r="O545" i="21" s="1"/>
  <c r="N546" i="21"/>
  <c r="O548" i="21"/>
  <c r="P548" i="21"/>
  <c r="L549" i="21"/>
  <c r="M549" i="21" s="1"/>
  <c r="M547" i="21" s="1"/>
  <c r="N549" i="21"/>
  <c r="N547" i="21" s="1"/>
  <c r="M555" i="21"/>
  <c r="M545" i="21" s="1"/>
  <c r="N555" i="21"/>
  <c r="N545" i="21" s="1"/>
  <c r="O556" i="21"/>
  <c r="P556" i="21"/>
  <c r="L557" i="21"/>
  <c r="O557" i="21" s="1"/>
  <c r="P557" i="21"/>
  <c r="I560" i="21"/>
  <c r="K560" i="21" s="1"/>
  <c r="J560" i="21"/>
  <c r="I561" i="21"/>
  <c r="K561" i="21" s="1"/>
  <c r="J561" i="21"/>
  <c r="I568" i="21"/>
  <c r="K568" i="21" s="1"/>
  <c r="J568" i="21"/>
  <c r="I569" i="21"/>
  <c r="K569" i="21" s="1"/>
  <c r="J569" i="21"/>
  <c r="I576" i="21"/>
  <c r="I559" i="21" s="1"/>
  <c r="I577" i="21"/>
  <c r="K577" i="21" s="1"/>
  <c r="J582" i="21"/>
  <c r="J576" i="21" s="1"/>
  <c r="J559" i="21" s="1"/>
  <c r="J543" i="21" s="1"/>
  <c r="J583" i="21"/>
  <c r="J577" i="21" s="1"/>
  <c r="I593" i="21"/>
  <c r="I592" i="21" s="1"/>
  <c r="I594" i="21"/>
  <c r="J595" i="21"/>
  <c r="J593" i="21" s="1"/>
  <c r="J592" i="21" s="1"/>
  <c r="J596" i="21"/>
  <c r="J594" i="21" s="1"/>
  <c r="J603" i="21"/>
  <c r="J604" i="21"/>
  <c r="J611" i="21"/>
  <c r="K611" i="21"/>
  <c r="J612" i="21"/>
  <c r="K612" i="21"/>
  <c r="J613" i="21"/>
  <c r="K613" i="21"/>
  <c r="I620" i="21"/>
  <c r="K620" i="21" s="1"/>
  <c r="J620" i="21"/>
  <c r="I621" i="21"/>
  <c r="K621" i="21" s="1"/>
  <c r="J621" i="21"/>
  <c r="L630" i="21"/>
  <c r="M630" i="21"/>
  <c r="P630" i="21" s="1"/>
  <c r="N630" i="21"/>
  <c r="O630" i="21"/>
  <c r="M631" i="21"/>
  <c r="P631" i="21" s="1"/>
  <c r="M632" i="21"/>
  <c r="P632" i="21"/>
  <c r="O633" i="21"/>
  <c r="P633" i="21"/>
  <c r="L634" i="21"/>
  <c r="O634" i="21" s="1"/>
  <c r="N634" i="21"/>
  <c r="N632" i="21" s="1"/>
  <c r="P634" i="21"/>
  <c r="M639" i="21"/>
  <c r="P639" i="21" s="1"/>
  <c r="N639" i="21"/>
  <c r="O640" i="21"/>
  <c r="P640" i="21"/>
  <c r="L641" i="21"/>
  <c r="O641" i="21" s="1"/>
  <c r="P641" i="21"/>
  <c r="I643" i="21"/>
  <c r="K643" i="21" s="1"/>
  <c r="I644" i="21"/>
  <c r="K644" i="21" s="1"/>
  <c r="J645" i="21"/>
  <c r="K645" i="21"/>
  <c r="J646" i="21"/>
  <c r="K646" i="21"/>
  <c r="I647" i="21"/>
  <c r="K647" i="21" s="1"/>
  <c r="J647" i="21"/>
  <c r="J648" i="21"/>
  <c r="K648" i="21"/>
  <c r="I649" i="21"/>
  <c r="K649" i="21" s="1"/>
  <c r="J649" i="21"/>
  <c r="J650" i="21"/>
  <c r="K650" i="21"/>
  <c r="I651" i="21"/>
  <c r="K651" i="21" s="1"/>
  <c r="J651" i="21"/>
  <c r="J628" i="21" s="1"/>
  <c r="J652" i="21"/>
  <c r="K652" i="21"/>
  <c r="L656" i="21"/>
  <c r="O656" i="21" s="1"/>
  <c r="M656" i="21"/>
  <c r="N656" i="21"/>
  <c r="O659" i="21"/>
  <c r="P659" i="21"/>
  <c r="L660" i="21"/>
  <c r="M660" i="21" s="1"/>
  <c r="M658" i="21" s="1"/>
  <c r="P658" i="21" s="1"/>
  <c r="N660" i="21"/>
  <c r="N658" i="21" s="1"/>
  <c r="L665" i="21"/>
  <c r="O665" i="21" s="1"/>
  <c r="M665" i="21"/>
  <c r="N665" i="21"/>
  <c r="P665" i="21"/>
  <c r="O666" i="21"/>
  <c r="P666" i="21"/>
  <c r="O667" i="21"/>
  <c r="P667" i="21"/>
  <c r="I669" i="21"/>
  <c r="I654" i="21" s="1"/>
  <c r="J669" i="21"/>
  <c r="J654" i="21" s="1"/>
  <c r="I670" i="21"/>
  <c r="K670" i="21" s="1"/>
  <c r="I671" i="21"/>
  <c r="K671" i="21" s="1"/>
  <c r="J675" i="21"/>
  <c r="I678" i="21"/>
  <c r="K678" i="21" s="1"/>
  <c r="J679" i="21"/>
  <c r="J678" i="21" s="1"/>
  <c r="L686" i="21"/>
  <c r="M686" i="21"/>
  <c r="N686" i="21"/>
  <c r="P686" i="21"/>
  <c r="L690" i="21"/>
  <c r="L687" i="21" s="1"/>
  <c r="N690" i="21"/>
  <c r="N687" i="21" s="1"/>
  <c r="N685" i="21" s="1"/>
  <c r="L695" i="21"/>
  <c r="O695" i="21" s="1"/>
  <c r="M695" i="21"/>
  <c r="P695" i="21" s="1"/>
  <c r="N695" i="21"/>
  <c r="O696" i="21"/>
  <c r="P696" i="21"/>
  <c r="O697" i="21"/>
  <c r="P697" i="21"/>
  <c r="I699" i="21"/>
  <c r="K699" i="21" s="1"/>
  <c r="J699" i="21"/>
  <c r="I700" i="21"/>
  <c r="J700" i="21"/>
  <c r="I701" i="21"/>
  <c r="K701" i="21" s="1"/>
  <c r="J701" i="21"/>
  <c r="I704" i="21"/>
  <c r="I707" i="21"/>
  <c r="I708" i="21"/>
  <c r="K708" i="21" s="1"/>
  <c r="J708" i="21"/>
  <c r="J718" i="21"/>
  <c r="J719" i="21"/>
  <c r="I720" i="21"/>
  <c r="K720" i="21" s="1"/>
  <c r="J720" i="21"/>
  <c r="I721" i="21"/>
  <c r="I722" i="21"/>
  <c r="I723" i="21"/>
  <c r="J723" i="21"/>
  <c r="J724" i="21"/>
  <c r="I725" i="21"/>
  <c r="J725" i="21"/>
  <c r="I726" i="21"/>
  <c r="K726" i="21" s="1"/>
  <c r="J726" i="21"/>
  <c r="J727" i="21"/>
  <c r="I728" i="21"/>
  <c r="K728" i="21" s="1"/>
  <c r="J728" i="21"/>
  <c r="I729" i="21"/>
  <c r="K729" i="21" s="1"/>
  <c r="J729" i="21"/>
  <c r="J736" i="21"/>
  <c r="K736" i="21"/>
  <c r="L738" i="21"/>
  <c r="O738" i="21" s="1"/>
  <c r="M738" i="21"/>
  <c r="M737" i="21" s="1"/>
  <c r="P737" i="21" s="1"/>
  <c r="N738" i="21"/>
  <c r="L739" i="21"/>
  <c r="M739" i="21"/>
  <c r="P739" i="21" s="1"/>
  <c r="N739" i="21"/>
  <c r="N737" i="21" s="1"/>
  <c r="O739" i="21"/>
  <c r="L740" i="21"/>
  <c r="O740" i="21" s="1"/>
  <c r="M740" i="21"/>
  <c r="P740" i="21"/>
  <c r="O741" i="21"/>
  <c r="P741" i="21"/>
  <c r="N742" i="21"/>
  <c r="N740" i="21" s="1"/>
  <c r="O742" i="21"/>
  <c r="P742" i="21"/>
  <c r="L747" i="21"/>
  <c r="O747" i="21" s="1"/>
  <c r="M747" i="21"/>
  <c r="P747" i="21" s="1"/>
  <c r="N747" i="21"/>
  <c r="O748" i="21"/>
  <c r="P748" i="21"/>
  <c r="O749" i="21"/>
  <c r="P749" i="21"/>
  <c r="J753" i="21"/>
  <c r="K753" i="21"/>
  <c r="L755" i="21"/>
  <c r="M755" i="21"/>
  <c r="N755" i="21"/>
  <c r="N754" i="21" s="1"/>
  <c r="P755" i="21"/>
  <c r="L756" i="21"/>
  <c r="O756" i="21" s="1"/>
  <c r="M756" i="21"/>
  <c r="M754" i="21" s="1"/>
  <c r="P754" i="21" s="1"/>
  <c r="L757" i="21"/>
  <c r="O757" i="21" s="1"/>
  <c r="M757" i="21"/>
  <c r="P757" i="21" s="1"/>
  <c r="N757" i="21"/>
  <c r="O758" i="21"/>
  <c r="P758" i="21"/>
  <c r="N759" i="21"/>
  <c r="N756" i="21" s="1"/>
  <c r="O759" i="21"/>
  <c r="P759" i="21"/>
  <c r="L764" i="21"/>
  <c r="O764" i="21" s="1"/>
  <c r="M764" i="21"/>
  <c r="P764" i="21" s="1"/>
  <c r="N764" i="21"/>
  <c r="O765" i="21"/>
  <c r="P765" i="21"/>
  <c r="O766" i="21"/>
  <c r="P766" i="21"/>
  <c r="J769" i="21"/>
  <c r="K769" i="21"/>
  <c r="L771" i="21"/>
  <c r="O771" i="21" s="1"/>
  <c r="M771" i="21"/>
  <c r="M770" i="21" s="1"/>
  <c r="P770" i="21" s="1"/>
  <c r="N771" i="21"/>
  <c r="L772" i="21"/>
  <c r="M772" i="21"/>
  <c r="P772" i="21" s="1"/>
  <c r="N772" i="21"/>
  <c r="O772" i="21"/>
  <c r="L773" i="21"/>
  <c r="O773" i="21" s="1"/>
  <c r="M773" i="21"/>
  <c r="P773" i="21"/>
  <c r="O774" i="21"/>
  <c r="P774" i="21"/>
  <c r="N775" i="21"/>
  <c r="N773" i="21" s="1"/>
  <c r="O775" i="21"/>
  <c r="P775" i="21"/>
  <c r="L780" i="21"/>
  <c r="O780" i="21" s="1"/>
  <c r="M780" i="21"/>
  <c r="P780" i="21" s="1"/>
  <c r="N780" i="21"/>
  <c r="O781" i="21"/>
  <c r="P781" i="21"/>
  <c r="O782" i="21"/>
  <c r="P782" i="21"/>
  <c r="L787" i="21"/>
  <c r="O787" i="21" s="1"/>
  <c r="M787" i="21"/>
  <c r="P787" i="21" s="1"/>
  <c r="N787" i="21"/>
  <c r="M788" i="21"/>
  <c r="P788" i="21" s="1"/>
  <c r="M789" i="21"/>
  <c r="P789" i="21" s="1"/>
  <c r="O790" i="21"/>
  <c r="P790" i="21"/>
  <c r="L791" i="21"/>
  <c r="L789" i="21" s="1"/>
  <c r="O789" i="21" s="1"/>
  <c r="N791" i="21"/>
  <c r="N788" i="21" s="1"/>
  <c r="N786" i="21" s="1"/>
  <c r="P791" i="21"/>
  <c r="L796" i="21"/>
  <c r="M796" i="21"/>
  <c r="N796" i="21"/>
  <c r="O796" i="21"/>
  <c r="P796" i="21"/>
  <c r="O797" i="21"/>
  <c r="P797" i="21"/>
  <c r="O798" i="21"/>
  <c r="P798" i="21"/>
  <c r="I800" i="21"/>
  <c r="I785" i="21" s="1"/>
  <c r="K785" i="21" s="1"/>
  <c r="J800" i="21"/>
  <c r="J785" i="21" s="1"/>
  <c r="J801" i="21"/>
  <c r="K802" i="21"/>
  <c r="J804" i="21"/>
  <c r="K804" i="21"/>
  <c r="L806" i="21"/>
  <c r="L805" i="21" s="1"/>
  <c r="O805" i="21" s="1"/>
  <c r="M806" i="21"/>
  <c r="P806" i="21" s="1"/>
  <c r="N806" i="21"/>
  <c r="L807" i="21"/>
  <c r="M807" i="21"/>
  <c r="P807" i="21" s="1"/>
  <c r="O807" i="21"/>
  <c r="L808" i="21"/>
  <c r="O808" i="21" s="1"/>
  <c r="M808" i="21"/>
  <c r="P808" i="21"/>
  <c r="O809" i="21"/>
  <c r="P809" i="21"/>
  <c r="N810" i="21"/>
  <c r="N807" i="21" s="1"/>
  <c r="N805" i="21" s="1"/>
  <c r="O810" i="21"/>
  <c r="P810" i="21"/>
  <c r="L815" i="21"/>
  <c r="O815" i="21" s="1"/>
  <c r="M815" i="21"/>
  <c r="P815" i="21" s="1"/>
  <c r="N815" i="21"/>
  <c r="O816" i="21"/>
  <c r="P816" i="21"/>
  <c r="O817" i="21"/>
  <c r="P817" i="21"/>
  <c r="H820" i="21"/>
  <c r="I821" i="21"/>
  <c r="J821" i="21"/>
  <c r="I822" i="21"/>
  <c r="J822" i="21"/>
  <c r="I823" i="21"/>
  <c r="K823" i="21" s="1"/>
  <c r="J823" i="21"/>
  <c r="I824" i="21"/>
  <c r="K824" i="21" s="1"/>
  <c r="J824" i="21"/>
  <c r="I825" i="21"/>
  <c r="J825" i="21"/>
  <c r="I826" i="21"/>
  <c r="J826" i="21"/>
  <c r="I827" i="21"/>
  <c r="J827" i="21"/>
  <c r="I828" i="21"/>
  <c r="J828" i="21"/>
  <c r="L22" i="20"/>
  <c r="M22" i="20"/>
  <c r="P22" i="20" s="1"/>
  <c r="N22" i="20"/>
  <c r="L25" i="20"/>
  <c r="M25" i="20"/>
  <c r="N25" i="20"/>
  <c r="O25" i="20"/>
  <c r="L32" i="20"/>
  <c r="O32" i="20" s="1"/>
  <c r="M32" i="20"/>
  <c r="N32" i="20"/>
  <c r="L35" i="20"/>
  <c r="L29" i="20" s="1"/>
  <c r="M35" i="20"/>
  <c r="P35" i="20" s="1"/>
  <c r="N35" i="20"/>
  <c r="N15" i="20" s="1"/>
  <c r="M36" i="20"/>
  <c r="N36" i="20"/>
  <c r="L42" i="20"/>
  <c r="O42" i="20" s="1"/>
  <c r="M42" i="20"/>
  <c r="P42" i="20" s="1"/>
  <c r="N42" i="20"/>
  <c r="O45" i="20"/>
  <c r="P45" i="20"/>
  <c r="L46" i="20"/>
  <c r="M46" i="20"/>
  <c r="M44" i="20" s="1"/>
  <c r="N46" i="20"/>
  <c r="O48" i="20"/>
  <c r="P48" i="20"/>
  <c r="L49" i="20"/>
  <c r="L47" i="20" s="1"/>
  <c r="O47" i="20" s="1"/>
  <c r="M49" i="20"/>
  <c r="M47" i="20" s="1"/>
  <c r="P47" i="20" s="1"/>
  <c r="N49" i="20"/>
  <c r="N47" i="20" s="1"/>
  <c r="L54" i="20"/>
  <c r="M54" i="20"/>
  <c r="N54" i="20"/>
  <c r="O54" i="20"/>
  <c r="O57" i="20"/>
  <c r="P57" i="20"/>
  <c r="L58" i="20"/>
  <c r="M58" i="20"/>
  <c r="M56" i="20" s="1"/>
  <c r="N58" i="20"/>
  <c r="O60" i="20"/>
  <c r="P60" i="20"/>
  <c r="L61" i="20"/>
  <c r="O61" i="20" s="1"/>
  <c r="M61" i="20"/>
  <c r="M59" i="20" s="1"/>
  <c r="P59" i="20" s="1"/>
  <c r="N61" i="20"/>
  <c r="N59" i="20" s="1"/>
  <c r="L67" i="20"/>
  <c r="O67" i="20" s="1"/>
  <c r="M67" i="20"/>
  <c r="N67" i="20"/>
  <c r="P67" i="20"/>
  <c r="O70" i="20"/>
  <c r="P70" i="20"/>
  <c r="L71" i="20"/>
  <c r="L69" i="20" s="1"/>
  <c r="O69" i="20" s="1"/>
  <c r="M71" i="20"/>
  <c r="M69" i="20" s="1"/>
  <c r="P69" i="20" s="1"/>
  <c r="N71" i="20"/>
  <c r="N69" i="20" s="1"/>
  <c r="O73" i="20"/>
  <c r="P73" i="20"/>
  <c r="L74" i="20"/>
  <c r="L72" i="20" s="1"/>
  <c r="O72" i="20" s="1"/>
  <c r="M74" i="20"/>
  <c r="M72" i="20" s="1"/>
  <c r="P72" i="20" s="1"/>
  <c r="N74" i="20"/>
  <c r="N72" i="20" s="1"/>
  <c r="J76" i="20"/>
  <c r="J64" i="20" s="1"/>
  <c r="J77" i="20"/>
  <c r="J65" i="20" s="1"/>
  <c r="I78" i="20"/>
  <c r="I79" i="20"/>
  <c r="K79" i="20" s="1"/>
  <c r="I80" i="20"/>
  <c r="K80" i="20" s="1"/>
  <c r="I81" i="20"/>
  <c r="I82" i="20"/>
  <c r="K82" i="20" s="1"/>
  <c r="I83" i="20"/>
  <c r="K83" i="20" s="1"/>
  <c r="I84" i="20"/>
  <c r="K84" i="20" s="1"/>
  <c r="J87" i="20"/>
  <c r="L89" i="20"/>
  <c r="O89" i="20" s="1"/>
  <c r="M89" i="20"/>
  <c r="P89" i="20" s="1"/>
  <c r="N89" i="20"/>
  <c r="O92" i="20"/>
  <c r="P92" i="20"/>
  <c r="L93" i="20"/>
  <c r="M93" i="20"/>
  <c r="M91" i="20" s="1"/>
  <c r="N93" i="20"/>
  <c r="N91" i="20" s="1"/>
  <c r="O95" i="20"/>
  <c r="P95" i="20"/>
  <c r="L96" i="20"/>
  <c r="M96" i="20"/>
  <c r="M94" i="20" s="1"/>
  <c r="P94" i="20" s="1"/>
  <c r="N96" i="20"/>
  <c r="N94" i="20" s="1"/>
  <c r="I98" i="20"/>
  <c r="I86" i="20" s="1"/>
  <c r="J98" i="20"/>
  <c r="I99" i="20"/>
  <c r="I87" i="20" s="1"/>
  <c r="J99" i="20"/>
  <c r="I100" i="20"/>
  <c r="J100" i="20"/>
  <c r="I102" i="20"/>
  <c r="K102" i="20" s="1"/>
  <c r="I103" i="20"/>
  <c r="K103" i="20" s="1"/>
  <c r="I104" i="20"/>
  <c r="K104" i="20" s="1"/>
  <c r="I106" i="20"/>
  <c r="K106" i="20" s="1"/>
  <c r="I107" i="20"/>
  <c r="K107" i="20" s="1"/>
  <c r="I109" i="20"/>
  <c r="K109" i="20" s="1"/>
  <c r="I110" i="20"/>
  <c r="K110" i="20" s="1"/>
  <c r="I111" i="20"/>
  <c r="K111" i="20" s="1"/>
  <c r="J111" i="20"/>
  <c r="J112" i="20"/>
  <c r="I113" i="20"/>
  <c r="K113" i="20" s="1"/>
  <c r="I114" i="20"/>
  <c r="K114" i="20" s="1"/>
  <c r="I115" i="20"/>
  <c r="I116" i="20"/>
  <c r="K116" i="20" s="1"/>
  <c r="L120" i="20"/>
  <c r="M120" i="20"/>
  <c r="N120" i="20"/>
  <c r="O120" i="20"/>
  <c r="O123" i="20"/>
  <c r="P123" i="20"/>
  <c r="L124" i="20"/>
  <c r="O124" i="20" s="1"/>
  <c r="M124" i="20"/>
  <c r="M122" i="20" s="1"/>
  <c r="P122" i="20" s="1"/>
  <c r="N124" i="20"/>
  <c r="N122" i="20" s="1"/>
  <c r="O126" i="20"/>
  <c r="P126" i="20"/>
  <c r="L127" i="20"/>
  <c r="M127" i="20"/>
  <c r="M125" i="20" s="1"/>
  <c r="P125" i="20" s="1"/>
  <c r="N127" i="20"/>
  <c r="N125" i="20" s="1"/>
  <c r="J130" i="20"/>
  <c r="L133" i="20"/>
  <c r="O133" i="20" s="1"/>
  <c r="M133" i="20"/>
  <c r="P133" i="20" s="1"/>
  <c r="N133" i="20"/>
  <c r="O136" i="20"/>
  <c r="P136" i="20"/>
  <c r="L137" i="20"/>
  <c r="O137" i="20" s="1"/>
  <c r="M137" i="20"/>
  <c r="M135" i="20" s="1"/>
  <c r="P135" i="20" s="1"/>
  <c r="N137" i="20"/>
  <c r="O139" i="20"/>
  <c r="P139" i="20"/>
  <c r="L140" i="20"/>
  <c r="L138" i="20" s="1"/>
  <c r="O138" i="20" s="1"/>
  <c r="M140" i="20"/>
  <c r="M138" i="20" s="1"/>
  <c r="P138" i="20" s="1"/>
  <c r="N140" i="20"/>
  <c r="N138" i="20" s="1"/>
  <c r="I144" i="20"/>
  <c r="K144" i="20" s="1"/>
  <c r="I145" i="20"/>
  <c r="I143" i="20" s="1"/>
  <c r="I146" i="20"/>
  <c r="I130" i="20" s="1"/>
  <c r="K130" i="20" s="1"/>
  <c r="J148" i="20"/>
  <c r="L150" i="20"/>
  <c r="O150" i="20" s="1"/>
  <c r="M150" i="20"/>
  <c r="N150" i="20"/>
  <c r="O153" i="20"/>
  <c r="P153" i="20"/>
  <c r="L154" i="20"/>
  <c r="M154" i="20"/>
  <c r="M152" i="20" s="1"/>
  <c r="N154" i="20"/>
  <c r="N152" i="20" s="1"/>
  <c r="O156" i="20"/>
  <c r="P156" i="20"/>
  <c r="L157" i="20"/>
  <c r="M157" i="20"/>
  <c r="M155" i="20" s="1"/>
  <c r="P155" i="20" s="1"/>
  <c r="N157" i="20"/>
  <c r="I159" i="20"/>
  <c r="I148" i="20" s="1"/>
  <c r="L166" i="20"/>
  <c r="M166" i="20"/>
  <c r="P166" i="20" s="1"/>
  <c r="N166" i="20"/>
  <c r="O166" i="20"/>
  <c r="O169" i="20"/>
  <c r="P169" i="20"/>
  <c r="L170" i="20"/>
  <c r="L168" i="20" s="1"/>
  <c r="M170" i="20"/>
  <c r="M168" i="20" s="1"/>
  <c r="N170" i="20"/>
  <c r="O172" i="20"/>
  <c r="P172" i="20"/>
  <c r="L173" i="20"/>
  <c r="L171" i="20" s="1"/>
  <c r="O171" i="20" s="1"/>
  <c r="M173" i="20"/>
  <c r="M171" i="20" s="1"/>
  <c r="P171" i="20" s="1"/>
  <c r="N173" i="20"/>
  <c r="N171" i="20" s="1"/>
  <c r="J174" i="20"/>
  <c r="I176" i="20"/>
  <c r="J177" i="20"/>
  <c r="J164" i="20" s="1"/>
  <c r="L182" i="20"/>
  <c r="O182" i="20" s="1"/>
  <c r="M182" i="20"/>
  <c r="P182" i="20" s="1"/>
  <c r="N182" i="20"/>
  <c r="O185" i="20"/>
  <c r="P185" i="20"/>
  <c r="L186" i="20"/>
  <c r="M186" i="20"/>
  <c r="M184" i="20" s="1"/>
  <c r="N186" i="20"/>
  <c r="O188" i="20"/>
  <c r="P188" i="20"/>
  <c r="L189" i="20"/>
  <c r="L187" i="20" s="1"/>
  <c r="O187" i="20" s="1"/>
  <c r="M189" i="20"/>
  <c r="P189" i="20" s="1"/>
  <c r="N189" i="20"/>
  <c r="N187" i="20" s="1"/>
  <c r="J190" i="20"/>
  <c r="L191" i="20"/>
  <c r="O191" i="20" s="1"/>
  <c r="P191" i="20"/>
  <c r="I193" i="20"/>
  <c r="I190" i="20" s="1"/>
  <c r="K190" i="20" s="1"/>
  <c r="J194" i="20"/>
  <c r="J197" i="20"/>
  <c r="N198" i="20"/>
  <c r="P198" i="20"/>
  <c r="L199" i="20"/>
  <c r="L200" i="20"/>
  <c r="L201" i="20"/>
  <c r="L202" i="20"/>
  <c r="I204" i="20"/>
  <c r="K204" i="20" s="1"/>
  <c r="J208" i="20"/>
  <c r="N209" i="20"/>
  <c r="P209" i="20"/>
  <c r="L210" i="20"/>
  <c r="L211" i="20"/>
  <c r="L212" i="20"/>
  <c r="I214" i="20"/>
  <c r="K214" i="20" s="1"/>
  <c r="I215" i="20"/>
  <c r="K215" i="20" s="1"/>
  <c r="J216" i="20"/>
  <c r="N217" i="20"/>
  <c r="P217" i="20"/>
  <c r="L218" i="20"/>
  <c r="L219" i="20"/>
  <c r="L220" i="20"/>
  <c r="I223" i="20"/>
  <c r="K223" i="20" s="1"/>
  <c r="I224" i="20"/>
  <c r="I216" i="20" s="1"/>
  <c r="K216" i="20" s="1"/>
  <c r="I225" i="20"/>
  <c r="K225" i="20" s="1"/>
  <c r="N228" i="20"/>
  <c r="N229" i="20"/>
  <c r="N230" i="20"/>
  <c r="N231" i="20"/>
  <c r="J233" i="20"/>
  <c r="I235" i="20"/>
  <c r="J235" i="20"/>
  <c r="K235" i="20"/>
  <c r="I236" i="20"/>
  <c r="K236" i="20" s="1"/>
  <c r="J236" i="20"/>
  <c r="J237" i="20"/>
  <c r="N238" i="20"/>
  <c r="P238" i="20"/>
  <c r="L239" i="20"/>
  <c r="L240" i="20"/>
  <c r="L241" i="20"/>
  <c r="L242" i="20"/>
  <c r="I244" i="20"/>
  <c r="K246" i="20"/>
  <c r="K247" i="20"/>
  <c r="J248" i="20"/>
  <c r="N249" i="20"/>
  <c r="P249" i="20"/>
  <c r="L250" i="20"/>
  <c r="L251" i="20"/>
  <c r="L252" i="20"/>
  <c r="L253" i="20"/>
  <c r="I255" i="20"/>
  <c r="K257" i="20"/>
  <c r="K258" i="20"/>
  <c r="J260" i="20"/>
  <c r="L262" i="20"/>
  <c r="M262" i="20"/>
  <c r="P262" i="20" s="1"/>
  <c r="N262" i="20"/>
  <c r="O265" i="20"/>
  <c r="P265" i="20"/>
  <c r="L266" i="20"/>
  <c r="M266" i="20"/>
  <c r="M264" i="20" s="1"/>
  <c r="N266" i="20"/>
  <c r="N264" i="20" s="1"/>
  <c r="O268" i="20"/>
  <c r="P268" i="20"/>
  <c r="L269" i="20"/>
  <c r="O269" i="20" s="1"/>
  <c r="M269" i="20"/>
  <c r="M267" i="20" s="1"/>
  <c r="P267" i="20" s="1"/>
  <c r="N269" i="20"/>
  <c r="I271" i="20"/>
  <c r="I260" i="20" s="1"/>
  <c r="K260" i="20" s="1"/>
  <c r="J276" i="20"/>
  <c r="L278" i="20"/>
  <c r="M278" i="20"/>
  <c r="N278" i="20"/>
  <c r="P278" i="20"/>
  <c r="O281" i="20"/>
  <c r="P281" i="20"/>
  <c r="L282" i="20"/>
  <c r="O282" i="20" s="1"/>
  <c r="M282" i="20"/>
  <c r="M280" i="20" s="1"/>
  <c r="P280" i="20" s="1"/>
  <c r="N282" i="20"/>
  <c r="N280" i="20" s="1"/>
  <c r="O284" i="20"/>
  <c r="P284" i="20"/>
  <c r="L285" i="20"/>
  <c r="L283" i="20" s="1"/>
  <c r="O283" i="20" s="1"/>
  <c r="M285" i="20"/>
  <c r="P285" i="20" s="1"/>
  <c r="N285" i="20"/>
  <c r="N283" i="20" s="1"/>
  <c r="I287" i="20"/>
  <c r="K287" i="20" s="1"/>
  <c r="I288" i="20"/>
  <c r="I290" i="20"/>
  <c r="K290" i="20" s="1"/>
  <c r="I291" i="20"/>
  <c r="K291" i="20" s="1"/>
  <c r="I293" i="20"/>
  <c r="K293" i="20" s="1"/>
  <c r="I294" i="20"/>
  <c r="K294" i="20" s="1"/>
  <c r="J297" i="20"/>
  <c r="L299" i="20"/>
  <c r="O299" i="20" s="1"/>
  <c r="M299" i="20"/>
  <c r="N299" i="20"/>
  <c r="O302" i="20"/>
  <c r="P302" i="20"/>
  <c r="L303" i="20"/>
  <c r="M303" i="20"/>
  <c r="M301" i="20" s="1"/>
  <c r="N303" i="20"/>
  <c r="N301" i="20" s="1"/>
  <c r="O305" i="20"/>
  <c r="P305" i="20"/>
  <c r="L306" i="20"/>
  <c r="O306" i="20" s="1"/>
  <c r="M306" i="20"/>
  <c r="M304" i="20" s="1"/>
  <c r="P304" i="20" s="1"/>
  <c r="N306" i="20"/>
  <c r="N304" i="20" s="1"/>
  <c r="I309" i="20"/>
  <c r="I297" i="20" s="1"/>
  <c r="K297" i="20" s="1"/>
  <c r="I310" i="20"/>
  <c r="K310" i="20" s="1"/>
  <c r="I311" i="20"/>
  <c r="K311" i="20" s="1"/>
  <c r="I312" i="20"/>
  <c r="K312" i="20" s="1"/>
  <c r="J314" i="20"/>
  <c r="L316" i="20"/>
  <c r="M316" i="20"/>
  <c r="P316" i="20" s="1"/>
  <c r="N316" i="20"/>
  <c r="O316" i="20"/>
  <c r="O319" i="20"/>
  <c r="P319" i="20"/>
  <c r="L320" i="20"/>
  <c r="L318" i="20" s="1"/>
  <c r="O318" i="20" s="1"/>
  <c r="M320" i="20"/>
  <c r="M318" i="20" s="1"/>
  <c r="P318" i="20" s="1"/>
  <c r="N320" i="20"/>
  <c r="O322" i="20"/>
  <c r="P322" i="20"/>
  <c r="L323" i="20"/>
  <c r="L321" i="20" s="1"/>
  <c r="O321" i="20" s="1"/>
  <c r="M323" i="20"/>
  <c r="M321" i="20" s="1"/>
  <c r="P321" i="20" s="1"/>
  <c r="N323" i="20"/>
  <c r="N321" i="20" s="1"/>
  <c r="I325" i="20"/>
  <c r="K325" i="20" s="1"/>
  <c r="I327" i="20"/>
  <c r="L329" i="20"/>
  <c r="O329" i="20" s="1"/>
  <c r="M329" i="20"/>
  <c r="P329" i="20" s="1"/>
  <c r="N329" i="20"/>
  <c r="O332" i="20"/>
  <c r="P332" i="20"/>
  <c r="L333" i="20"/>
  <c r="L331" i="20" s="1"/>
  <c r="M333" i="20"/>
  <c r="N333" i="20"/>
  <c r="N331" i="20" s="1"/>
  <c r="O335" i="20"/>
  <c r="P335" i="20"/>
  <c r="L336" i="20"/>
  <c r="M336" i="20"/>
  <c r="P336" i="20" s="1"/>
  <c r="N336" i="20"/>
  <c r="N334" i="20" s="1"/>
  <c r="D337" i="20"/>
  <c r="I338" i="20"/>
  <c r="J338" i="20"/>
  <c r="I340" i="20"/>
  <c r="J340" i="20"/>
  <c r="J341" i="20"/>
  <c r="J342" i="20"/>
  <c r="J343" i="20"/>
  <c r="L346" i="20"/>
  <c r="M346" i="20"/>
  <c r="N346" i="20"/>
  <c r="P346" i="20"/>
  <c r="O349" i="20"/>
  <c r="P349" i="20"/>
  <c r="L350" i="20"/>
  <c r="M350" i="20"/>
  <c r="M348" i="20" s="1"/>
  <c r="N350" i="20"/>
  <c r="N348" i="20" s="1"/>
  <c r="O352" i="20"/>
  <c r="P352" i="20"/>
  <c r="L353" i="20"/>
  <c r="M353" i="20"/>
  <c r="M351" i="20" s="1"/>
  <c r="N353" i="20"/>
  <c r="N351" i="20" s="1"/>
  <c r="I355" i="20"/>
  <c r="J358" i="20"/>
  <c r="K358" i="20"/>
  <c r="I359" i="20"/>
  <c r="J359" i="20"/>
  <c r="I360" i="20"/>
  <c r="J360" i="20"/>
  <c r="J361" i="20"/>
  <c r="K361" i="20"/>
  <c r="I362" i="20"/>
  <c r="J362" i="20"/>
  <c r="J355" i="20" s="1"/>
  <c r="J363" i="20"/>
  <c r="K363" i="20"/>
  <c r="I365" i="20"/>
  <c r="J368" i="20"/>
  <c r="K368" i="20"/>
  <c r="I369" i="20"/>
  <c r="J369" i="20"/>
  <c r="I370" i="20"/>
  <c r="J370" i="20"/>
  <c r="J371" i="20"/>
  <c r="K371" i="20"/>
  <c r="I372" i="20"/>
  <c r="J372" i="20"/>
  <c r="J365" i="20" s="1"/>
  <c r="A373" i="20"/>
  <c r="J373" i="20"/>
  <c r="K373" i="20"/>
  <c r="I374" i="20"/>
  <c r="J377" i="20"/>
  <c r="K377" i="20"/>
  <c r="I378" i="20"/>
  <c r="J378" i="20"/>
  <c r="I379" i="20"/>
  <c r="J379" i="20"/>
  <c r="J380" i="20"/>
  <c r="K380" i="20"/>
  <c r="I381" i="20"/>
  <c r="J381" i="20"/>
  <c r="J374" i="20" s="1"/>
  <c r="A382" i="20"/>
  <c r="J382" i="20"/>
  <c r="K382" i="20"/>
  <c r="D384" i="20"/>
  <c r="I385" i="20"/>
  <c r="K385" i="20" s="1"/>
  <c r="J385" i="20"/>
  <c r="I388" i="20"/>
  <c r="K388" i="20" s="1"/>
  <c r="J388" i="20"/>
  <c r="L390" i="20"/>
  <c r="M390" i="20"/>
  <c r="N390" i="20"/>
  <c r="P390" i="20"/>
  <c r="O393" i="20"/>
  <c r="P393" i="20"/>
  <c r="L394" i="20"/>
  <c r="M394" i="20"/>
  <c r="M392" i="20" s="1"/>
  <c r="P392" i="20" s="1"/>
  <c r="N394" i="20"/>
  <c r="N392" i="20" s="1"/>
  <c r="O396" i="20"/>
  <c r="P396" i="20"/>
  <c r="L397" i="20"/>
  <c r="L395" i="20" s="1"/>
  <c r="O395" i="20" s="1"/>
  <c r="M397" i="20"/>
  <c r="M395" i="20" s="1"/>
  <c r="P395" i="20" s="1"/>
  <c r="N397" i="20"/>
  <c r="N395" i="20" s="1"/>
  <c r="K399" i="20"/>
  <c r="K400" i="20"/>
  <c r="I401" i="20"/>
  <c r="K401" i="20" s="1"/>
  <c r="J401" i="20"/>
  <c r="L403" i="20"/>
  <c r="O403" i="20" s="1"/>
  <c r="M403" i="20"/>
  <c r="P403" i="20" s="1"/>
  <c r="N403" i="20"/>
  <c r="O406" i="20"/>
  <c r="P406" i="20"/>
  <c r="L407" i="20"/>
  <c r="L405" i="20" s="1"/>
  <c r="O405" i="20" s="1"/>
  <c r="M407" i="20"/>
  <c r="P407" i="20" s="1"/>
  <c r="N407" i="20"/>
  <c r="N405" i="20" s="1"/>
  <c r="O409" i="20"/>
  <c r="P409" i="20"/>
  <c r="L410" i="20"/>
  <c r="M410" i="20"/>
  <c r="P410" i="20" s="1"/>
  <c r="N410" i="20"/>
  <c r="N408" i="20" s="1"/>
  <c r="K412" i="20"/>
  <c r="K413" i="20"/>
  <c r="L420" i="20"/>
  <c r="O420" i="20" s="1"/>
  <c r="M420" i="20"/>
  <c r="P420" i="20" s="1"/>
  <c r="N420" i="20"/>
  <c r="O423" i="20"/>
  <c r="P423" i="20"/>
  <c r="L424" i="20"/>
  <c r="L422" i="20" s="1"/>
  <c r="N424" i="20"/>
  <c r="M429" i="20"/>
  <c r="P429" i="20" s="1"/>
  <c r="N429" i="20"/>
  <c r="O430" i="20"/>
  <c r="P430" i="20"/>
  <c r="L431" i="20"/>
  <c r="L429" i="20" s="1"/>
  <c r="O429" i="20" s="1"/>
  <c r="P431" i="20"/>
  <c r="J434" i="20"/>
  <c r="J418" i="20" s="1"/>
  <c r="I435" i="20"/>
  <c r="I437" i="20"/>
  <c r="K437" i="20" s="1"/>
  <c r="I438" i="20"/>
  <c r="K438" i="20" s="1"/>
  <c r="I439" i="20"/>
  <c r="K439" i="20" s="1"/>
  <c r="I440" i="20"/>
  <c r="K440" i="20" s="1"/>
  <c r="I441" i="20"/>
  <c r="K441" i="20" s="1"/>
  <c r="J442" i="20"/>
  <c r="J443" i="20"/>
  <c r="L445" i="20"/>
  <c r="M445" i="20"/>
  <c r="P445" i="20" s="1"/>
  <c r="N445" i="20"/>
  <c r="O445" i="20"/>
  <c r="O448" i="20"/>
  <c r="P448" i="20"/>
  <c r="L449" i="20"/>
  <c r="N449" i="20"/>
  <c r="N446" i="20" s="1"/>
  <c r="M454" i="20"/>
  <c r="P454" i="20" s="1"/>
  <c r="N454" i="20"/>
  <c r="O455" i="20"/>
  <c r="P455" i="20"/>
  <c r="L456" i="20"/>
  <c r="P456" i="20"/>
  <c r="K458" i="20"/>
  <c r="I460" i="20"/>
  <c r="I442" i="20" s="1"/>
  <c r="K442" i="20" s="1"/>
  <c r="I462" i="20"/>
  <c r="I463" i="20"/>
  <c r="I464" i="20"/>
  <c r="I465" i="20"/>
  <c r="K465" i="20" s="1"/>
  <c r="J465" i="20"/>
  <c r="I466" i="20"/>
  <c r="K466" i="20" s="1"/>
  <c r="J466" i="20"/>
  <c r="L468" i="20"/>
  <c r="M468" i="20"/>
  <c r="N468" i="20"/>
  <c r="O468" i="20"/>
  <c r="O471" i="20"/>
  <c r="P471" i="20"/>
  <c r="L472" i="20"/>
  <c r="N472" i="20"/>
  <c r="N470" i="20" s="1"/>
  <c r="M477" i="20"/>
  <c r="P477" i="20" s="1"/>
  <c r="N477" i="20"/>
  <c r="O478" i="20"/>
  <c r="P478" i="20"/>
  <c r="L479" i="20"/>
  <c r="O479" i="20" s="1"/>
  <c r="P479" i="20"/>
  <c r="I483" i="20"/>
  <c r="K483" i="20" s="1"/>
  <c r="I485" i="20"/>
  <c r="K485" i="20" s="1"/>
  <c r="I487" i="20"/>
  <c r="K487" i="20" s="1"/>
  <c r="I489" i="20"/>
  <c r="K489" i="20" s="1"/>
  <c r="I492" i="20"/>
  <c r="K492" i="20" s="1"/>
  <c r="I495" i="20"/>
  <c r="K495" i="20" s="1"/>
  <c r="I498" i="20"/>
  <c r="K498" i="20" s="1"/>
  <c r="J500" i="20"/>
  <c r="K500" i="20"/>
  <c r="K501" i="20"/>
  <c r="L503" i="20"/>
  <c r="M503" i="20"/>
  <c r="P503" i="20" s="1"/>
  <c r="N503" i="20"/>
  <c r="N502" i="20" s="1"/>
  <c r="L504" i="20"/>
  <c r="M504" i="20"/>
  <c r="P504" i="20" s="1"/>
  <c r="O504" i="20"/>
  <c r="L505" i="20"/>
  <c r="O505" i="20" s="1"/>
  <c r="M505" i="20"/>
  <c r="P505" i="20" s="1"/>
  <c r="O506" i="20"/>
  <c r="P506" i="20"/>
  <c r="N507" i="20"/>
  <c r="N504" i="20" s="1"/>
  <c r="O507" i="20"/>
  <c r="P507" i="20"/>
  <c r="L512" i="20"/>
  <c r="O512" i="20" s="1"/>
  <c r="M512" i="20"/>
  <c r="P512" i="20" s="1"/>
  <c r="N512" i="20"/>
  <c r="O513" i="20"/>
  <c r="P513" i="20"/>
  <c r="O514" i="20"/>
  <c r="P514" i="20"/>
  <c r="K516" i="20"/>
  <c r="J517" i="20"/>
  <c r="J501" i="20" s="1"/>
  <c r="K517" i="20"/>
  <c r="L524" i="20"/>
  <c r="M524" i="20"/>
  <c r="M523" i="20" s="1"/>
  <c r="P523" i="20" s="1"/>
  <c r="N524" i="20"/>
  <c r="M525" i="20"/>
  <c r="P525" i="20" s="1"/>
  <c r="M526" i="20"/>
  <c r="P526" i="20"/>
  <c r="O527" i="20"/>
  <c r="P527" i="20"/>
  <c r="L528" i="20"/>
  <c r="O528" i="20" s="1"/>
  <c r="N528" i="20"/>
  <c r="N526" i="20" s="1"/>
  <c r="P528" i="20"/>
  <c r="M533" i="20"/>
  <c r="P533" i="20" s="1"/>
  <c r="N533" i="20"/>
  <c r="O534" i="20"/>
  <c r="P534" i="20"/>
  <c r="L535" i="20"/>
  <c r="P535" i="20"/>
  <c r="I537" i="20"/>
  <c r="K537" i="20" s="1"/>
  <c r="I538" i="20"/>
  <c r="K538" i="20" s="1"/>
  <c r="I539" i="20"/>
  <c r="K539" i="20" s="1"/>
  <c r="I540" i="20"/>
  <c r="K540" i="20" s="1"/>
  <c r="I541" i="20"/>
  <c r="K541" i="20" s="1"/>
  <c r="I542" i="20"/>
  <c r="K542" i="20" s="1"/>
  <c r="L545" i="20"/>
  <c r="O545" i="20" s="1"/>
  <c r="O548" i="20"/>
  <c r="P548" i="20"/>
  <c r="L549" i="20"/>
  <c r="M549" i="20" s="1"/>
  <c r="M546" i="20" s="1"/>
  <c r="N549" i="20"/>
  <c r="N553" i="20"/>
  <c r="M555" i="20"/>
  <c r="P555" i="20" s="1"/>
  <c r="N555" i="20"/>
  <c r="N545" i="20" s="1"/>
  <c r="O556" i="20"/>
  <c r="P556" i="20"/>
  <c r="L557" i="20"/>
  <c r="L555" i="20" s="1"/>
  <c r="O555" i="20" s="1"/>
  <c r="P557" i="20"/>
  <c r="I560" i="20"/>
  <c r="K560" i="20" s="1"/>
  <c r="J560" i="20"/>
  <c r="I561" i="20"/>
  <c r="K561" i="20" s="1"/>
  <c r="J561" i="20"/>
  <c r="I568" i="20"/>
  <c r="K568" i="20" s="1"/>
  <c r="J568" i="20"/>
  <c r="I569" i="20"/>
  <c r="K569" i="20" s="1"/>
  <c r="J569" i="20"/>
  <c r="I576" i="20"/>
  <c r="I559" i="20" s="1"/>
  <c r="K559" i="20" s="1"/>
  <c r="I577" i="20"/>
  <c r="K577" i="20" s="1"/>
  <c r="J582" i="20"/>
  <c r="J576" i="20" s="1"/>
  <c r="J559" i="20" s="1"/>
  <c r="J543" i="20" s="1"/>
  <c r="J583" i="20"/>
  <c r="J577" i="20" s="1"/>
  <c r="I593" i="20"/>
  <c r="I592" i="20" s="1"/>
  <c r="I594" i="20"/>
  <c r="J595" i="20"/>
  <c r="J596" i="20"/>
  <c r="J603" i="20"/>
  <c r="J593" i="20" s="1"/>
  <c r="J604" i="20"/>
  <c r="J611" i="20"/>
  <c r="K611" i="20"/>
  <c r="J612" i="20"/>
  <c r="K612" i="20"/>
  <c r="J613" i="20"/>
  <c r="K613" i="20"/>
  <c r="I620" i="20"/>
  <c r="K620" i="20" s="1"/>
  <c r="J620" i="20"/>
  <c r="I621" i="20"/>
  <c r="K621" i="20" s="1"/>
  <c r="J621" i="20"/>
  <c r="L630" i="20"/>
  <c r="O630" i="20" s="1"/>
  <c r="M630" i="20"/>
  <c r="P630" i="20" s="1"/>
  <c r="N630" i="20"/>
  <c r="O633" i="20"/>
  <c r="P633" i="20"/>
  <c r="L634" i="20"/>
  <c r="N634" i="20"/>
  <c r="N632" i="20" s="1"/>
  <c r="N638" i="20"/>
  <c r="M639" i="20"/>
  <c r="P639" i="20" s="1"/>
  <c r="N639" i="20"/>
  <c r="O640" i="20"/>
  <c r="P640" i="20"/>
  <c r="L641" i="20"/>
  <c r="L639" i="20" s="1"/>
  <c r="O639" i="20" s="1"/>
  <c r="P641" i="20"/>
  <c r="I643" i="20"/>
  <c r="K643" i="20" s="1"/>
  <c r="I644" i="20"/>
  <c r="K644" i="20" s="1"/>
  <c r="J645" i="20"/>
  <c r="K645" i="20"/>
  <c r="J646" i="20"/>
  <c r="K646" i="20"/>
  <c r="I647" i="20"/>
  <c r="J647" i="20"/>
  <c r="J648" i="20"/>
  <c r="K648" i="20"/>
  <c r="I649" i="20"/>
  <c r="J649" i="20"/>
  <c r="J650" i="20"/>
  <c r="K650" i="20"/>
  <c r="I651" i="20"/>
  <c r="I628" i="20" s="1"/>
  <c r="J651" i="20"/>
  <c r="A652" i="20"/>
  <c r="J652" i="20"/>
  <c r="K652" i="20"/>
  <c r="L656" i="20"/>
  <c r="M656" i="20"/>
  <c r="P656" i="20" s="1"/>
  <c r="N656" i="20"/>
  <c r="N655" i="20" s="1"/>
  <c r="N658" i="20"/>
  <c r="O659" i="20"/>
  <c r="P659" i="20"/>
  <c r="L660" i="20"/>
  <c r="L658" i="20" s="1"/>
  <c r="O658" i="20" s="1"/>
  <c r="N660" i="20"/>
  <c r="N657" i="20" s="1"/>
  <c r="L665" i="20"/>
  <c r="O665" i="20" s="1"/>
  <c r="M665" i="20"/>
  <c r="P665" i="20" s="1"/>
  <c r="N665" i="20"/>
  <c r="O666" i="20"/>
  <c r="P666" i="20"/>
  <c r="O667" i="20"/>
  <c r="P667" i="20"/>
  <c r="I669" i="20"/>
  <c r="K672" i="20" s="1"/>
  <c r="I670" i="20"/>
  <c r="K670" i="20" s="1"/>
  <c r="I671" i="20"/>
  <c r="K671" i="20" s="1"/>
  <c r="J675" i="20"/>
  <c r="I678" i="20"/>
  <c r="K678" i="20" s="1"/>
  <c r="J679" i="20"/>
  <c r="J678" i="20" s="1"/>
  <c r="L686" i="20"/>
  <c r="O686" i="20" s="1"/>
  <c r="M686" i="20"/>
  <c r="N686" i="20"/>
  <c r="N687" i="20"/>
  <c r="L690" i="20"/>
  <c r="L688" i="20" s="1"/>
  <c r="N690" i="20"/>
  <c r="N688" i="20" s="1"/>
  <c r="L695" i="20"/>
  <c r="O695" i="20" s="1"/>
  <c r="M695" i="20"/>
  <c r="P695" i="20" s="1"/>
  <c r="N695" i="20"/>
  <c r="O696" i="20"/>
  <c r="P696" i="20"/>
  <c r="O697" i="20"/>
  <c r="P697" i="20"/>
  <c r="I699" i="20"/>
  <c r="K699" i="20" s="1"/>
  <c r="J699" i="20"/>
  <c r="I700" i="20"/>
  <c r="K700" i="20" s="1"/>
  <c r="J700" i="20"/>
  <c r="I701" i="20"/>
  <c r="J701" i="20"/>
  <c r="I704" i="20"/>
  <c r="I707" i="20"/>
  <c r="I708" i="20"/>
  <c r="K708" i="20" s="1"/>
  <c r="J708" i="20"/>
  <c r="J718" i="20"/>
  <c r="J719" i="20"/>
  <c r="I720" i="20"/>
  <c r="J720" i="20"/>
  <c r="I721" i="20"/>
  <c r="I722" i="20"/>
  <c r="I723" i="20"/>
  <c r="J723" i="20"/>
  <c r="J724" i="20"/>
  <c r="I725" i="20"/>
  <c r="J725" i="20"/>
  <c r="I726" i="20"/>
  <c r="K726" i="20" s="1"/>
  <c r="J726" i="20"/>
  <c r="J727" i="20"/>
  <c r="I728" i="20"/>
  <c r="K728" i="20" s="1"/>
  <c r="J728" i="20"/>
  <c r="I729" i="20"/>
  <c r="K729" i="20" s="1"/>
  <c r="J729" i="20"/>
  <c r="J736" i="20"/>
  <c r="K736" i="20"/>
  <c r="L738" i="20"/>
  <c r="O738" i="20" s="1"/>
  <c r="M738" i="20"/>
  <c r="N738" i="20"/>
  <c r="P738" i="20"/>
  <c r="L739" i="20"/>
  <c r="O739" i="20" s="1"/>
  <c r="M739" i="20"/>
  <c r="P739" i="20" s="1"/>
  <c r="L740" i="20"/>
  <c r="O740" i="20" s="1"/>
  <c r="M740" i="20"/>
  <c r="P740" i="20" s="1"/>
  <c r="O741" i="20"/>
  <c r="P741" i="20"/>
  <c r="N742" i="20"/>
  <c r="N739" i="20" s="1"/>
  <c r="O742" i="20"/>
  <c r="P742" i="20"/>
  <c r="L747" i="20"/>
  <c r="M747" i="20"/>
  <c r="P747" i="20" s="1"/>
  <c r="N747" i="20"/>
  <c r="O747" i="20"/>
  <c r="O748" i="20"/>
  <c r="P748" i="20"/>
  <c r="O749" i="20"/>
  <c r="P749" i="20"/>
  <c r="J753" i="20"/>
  <c r="K753" i="20"/>
  <c r="L755" i="20"/>
  <c r="O755" i="20" s="1"/>
  <c r="M755" i="20"/>
  <c r="P755" i="20" s="1"/>
  <c r="N755" i="20"/>
  <c r="L756" i="20"/>
  <c r="M756" i="20"/>
  <c r="P756" i="20" s="1"/>
  <c r="O756" i="20"/>
  <c r="L757" i="20"/>
  <c r="O757" i="20" s="1"/>
  <c r="M757" i="20"/>
  <c r="P757" i="20"/>
  <c r="O758" i="20"/>
  <c r="P758" i="20"/>
  <c r="N759" i="20"/>
  <c r="N757" i="20" s="1"/>
  <c r="O759" i="20"/>
  <c r="P759" i="20"/>
  <c r="L764" i="20"/>
  <c r="O764" i="20" s="1"/>
  <c r="M764" i="20"/>
  <c r="N764" i="20"/>
  <c r="P764" i="20"/>
  <c r="O765" i="20"/>
  <c r="P765" i="20"/>
  <c r="O766" i="20"/>
  <c r="P766" i="20"/>
  <c r="J769" i="20"/>
  <c r="K769" i="20"/>
  <c r="L771" i="20"/>
  <c r="O771" i="20" s="1"/>
  <c r="M771" i="20"/>
  <c r="P771" i="20" s="1"/>
  <c r="N771" i="20"/>
  <c r="L772" i="20"/>
  <c r="O772" i="20" s="1"/>
  <c r="M772" i="20"/>
  <c r="P772" i="20" s="1"/>
  <c r="L773" i="20"/>
  <c r="O773" i="20" s="1"/>
  <c r="M773" i="20"/>
  <c r="P773" i="20" s="1"/>
  <c r="O774" i="20"/>
  <c r="P774" i="20"/>
  <c r="N775" i="20"/>
  <c r="N772" i="20" s="1"/>
  <c r="O775" i="20"/>
  <c r="P775" i="20"/>
  <c r="L780" i="20"/>
  <c r="M780" i="20"/>
  <c r="N780" i="20"/>
  <c r="O780" i="20"/>
  <c r="P780" i="20"/>
  <c r="O781" i="20"/>
  <c r="P781" i="20"/>
  <c r="O782" i="20"/>
  <c r="P782" i="20"/>
  <c r="L787" i="20"/>
  <c r="O787" i="20" s="1"/>
  <c r="M787" i="20"/>
  <c r="N787" i="20"/>
  <c r="M788" i="20"/>
  <c r="P788" i="20" s="1"/>
  <c r="M789" i="20"/>
  <c r="P789" i="20" s="1"/>
  <c r="O790" i="20"/>
  <c r="P790" i="20"/>
  <c r="L791" i="20"/>
  <c r="L789" i="20" s="1"/>
  <c r="O789" i="20" s="1"/>
  <c r="N791" i="20"/>
  <c r="N789" i="20" s="1"/>
  <c r="P791" i="20"/>
  <c r="L796" i="20"/>
  <c r="O796" i="20" s="1"/>
  <c r="M796" i="20"/>
  <c r="P796" i="20" s="1"/>
  <c r="N796" i="20"/>
  <c r="O797" i="20"/>
  <c r="P797" i="20"/>
  <c r="O798" i="20"/>
  <c r="P798" i="20"/>
  <c r="I800" i="20"/>
  <c r="K800" i="20" s="1"/>
  <c r="J800" i="20"/>
  <c r="J785" i="20" s="1"/>
  <c r="J801" i="20"/>
  <c r="K802" i="20"/>
  <c r="J804" i="20"/>
  <c r="K804" i="20"/>
  <c r="L806" i="20"/>
  <c r="M806" i="20"/>
  <c r="N806" i="20"/>
  <c r="P806" i="20"/>
  <c r="L807" i="20"/>
  <c r="O807" i="20" s="1"/>
  <c r="M807" i="20"/>
  <c r="P807" i="20" s="1"/>
  <c r="L808" i="20"/>
  <c r="O808" i="20" s="1"/>
  <c r="M808" i="20"/>
  <c r="P808" i="20" s="1"/>
  <c r="O809" i="20"/>
  <c r="P809" i="20"/>
  <c r="N810" i="20"/>
  <c r="N808" i="20" s="1"/>
  <c r="O810" i="20"/>
  <c r="P810" i="20"/>
  <c r="L815" i="20"/>
  <c r="M815" i="20"/>
  <c r="N815" i="20"/>
  <c r="O815" i="20"/>
  <c r="P815" i="20"/>
  <c r="O816" i="20"/>
  <c r="P816" i="20"/>
  <c r="O817" i="20"/>
  <c r="P817" i="20"/>
  <c r="H820" i="20"/>
  <c r="I821" i="20"/>
  <c r="J821" i="20"/>
  <c r="I822" i="20"/>
  <c r="J822" i="20"/>
  <c r="I823" i="20"/>
  <c r="J823" i="20"/>
  <c r="I824" i="20"/>
  <c r="J824" i="20"/>
  <c r="I825" i="20"/>
  <c r="J825" i="20"/>
  <c r="I826" i="20"/>
  <c r="J826" i="20"/>
  <c r="I827" i="20"/>
  <c r="J827" i="20"/>
  <c r="I828" i="20"/>
  <c r="J828" i="20"/>
  <c r="L22" i="19"/>
  <c r="M22" i="19"/>
  <c r="P22" i="19" s="1"/>
  <c r="N22" i="19"/>
  <c r="L25" i="19"/>
  <c r="M25" i="19"/>
  <c r="N25" i="19"/>
  <c r="O25" i="19"/>
  <c r="L32" i="19"/>
  <c r="O32" i="19" s="1"/>
  <c r="M32" i="19"/>
  <c r="N32" i="19"/>
  <c r="L35" i="19"/>
  <c r="L29" i="19" s="1"/>
  <c r="M35" i="19"/>
  <c r="P35" i="19" s="1"/>
  <c r="N35" i="19"/>
  <c r="N15" i="19" s="1"/>
  <c r="M36" i="19"/>
  <c r="N36" i="19"/>
  <c r="N34" i="19" s="1"/>
  <c r="L42" i="19"/>
  <c r="O42" i="19" s="1"/>
  <c r="M42" i="19"/>
  <c r="N42" i="19"/>
  <c r="O45" i="19"/>
  <c r="P45" i="19"/>
  <c r="L46" i="19"/>
  <c r="M46" i="19"/>
  <c r="N46" i="19"/>
  <c r="O48" i="19"/>
  <c r="P48" i="19"/>
  <c r="L49" i="19"/>
  <c r="L47" i="19" s="1"/>
  <c r="O47" i="19" s="1"/>
  <c r="M49" i="19"/>
  <c r="N49" i="19"/>
  <c r="N47" i="19" s="1"/>
  <c r="L54" i="19"/>
  <c r="O54" i="19" s="1"/>
  <c r="M54" i="19"/>
  <c r="N54" i="19"/>
  <c r="O57" i="19"/>
  <c r="P57" i="19"/>
  <c r="L58" i="19"/>
  <c r="L56" i="19" s="1"/>
  <c r="M58" i="19"/>
  <c r="N58" i="19"/>
  <c r="N56" i="19" s="1"/>
  <c r="O60" i="19"/>
  <c r="P60" i="19"/>
  <c r="L61" i="19"/>
  <c r="L59" i="19" s="1"/>
  <c r="M61" i="19"/>
  <c r="M59" i="19" s="1"/>
  <c r="N61" i="19"/>
  <c r="N59" i="19" s="1"/>
  <c r="L67" i="19"/>
  <c r="O67" i="19" s="1"/>
  <c r="M67" i="19"/>
  <c r="P67" i="19" s="1"/>
  <c r="N67" i="19"/>
  <c r="O70" i="19"/>
  <c r="P70" i="19"/>
  <c r="L71" i="19"/>
  <c r="M71" i="19"/>
  <c r="N71" i="19"/>
  <c r="N69" i="19" s="1"/>
  <c r="O73" i="19"/>
  <c r="P73" i="19"/>
  <c r="L74" i="19"/>
  <c r="L72" i="19" s="1"/>
  <c r="O72" i="19" s="1"/>
  <c r="M74" i="19"/>
  <c r="N74" i="19"/>
  <c r="N72" i="19" s="1"/>
  <c r="J76" i="19"/>
  <c r="J64" i="19" s="1"/>
  <c r="J77" i="19"/>
  <c r="J65" i="19" s="1"/>
  <c r="I78" i="19"/>
  <c r="I79" i="19"/>
  <c r="I80" i="19"/>
  <c r="K80" i="19" s="1"/>
  <c r="I81" i="19"/>
  <c r="K81" i="19" s="1"/>
  <c r="I82" i="19"/>
  <c r="K82" i="19" s="1"/>
  <c r="I83" i="19"/>
  <c r="K83" i="19" s="1"/>
  <c r="I84" i="19"/>
  <c r="K84" i="19" s="1"/>
  <c r="J87" i="19"/>
  <c r="L89" i="19"/>
  <c r="M89" i="19"/>
  <c r="P89" i="19" s="1"/>
  <c r="N89" i="19"/>
  <c r="O92" i="19"/>
  <c r="P92" i="19"/>
  <c r="L93" i="19"/>
  <c r="L91" i="19" s="1"/>
  <c r="M93" i="19"/>
  <c r="N93" i="19"/>
  <c r="O95" i="19"/>
  <c r="P95" i="19"/>
  <c r="L96" i="19"/>
  <c r="L94" i="19" s="1"/>
  <c r="O94" i="19" s="1"/>
  <c r="M96" i="19"/>
  <c r="M94" i="19" s="1"/>
  <c r="P94" i="19" s="1"/>
  <c r="N96" i="19"/>
  <c r="N94" i="19" s="1"/>
  <c r="I98" i="19"/>
  <c r="I86" i="19" s="1"/>
  <c r="J98" i="19"/>
  <c r="J86" i="19" s="1"/>
  <c r="I99" i="19"/>
  <c r="I87" i="19" s="1"/>
  <c r="J99" i="19"/>
  <c r="I100" i="19"/>
  <c r="J100" i="19"/>
  <c r="I102" i="19"/>
  <c r="K102" i="19" s="1"/>
  <c r="I103" i="19"/>
  <c r="K103" i="19" s="1"/>
  <c r="I104" i="19"/>
  <c r="K104" i="19" s="1"/>
  <c r="I106" i="19"/>
  <c r="K106" i="19" s="1"/>
  <c r="I107" i="19"/>
  <c r="K107" i="19" s="1"/>
  <c r="I109" i="19"/>
  <c r="K109" i="19" s="1"/>
  <c r="I110" i="19"/>
  <c r="K110" i="19" s="1"/>
  <c r="I111" i="19"/>
  <c r="K111" i="19" s="1"/>
  <c r="J111" i="19"/>
  <c r="J112" i="19"/>
  <c r="I113" i="19"/>
  <c r="K113" i="19" s="1"/>
  <c r="I114" i="19"/>
  <c r="K114" i="19" s="1"/>
  <c r="I115" i="19"/>
  <c r="I116" i="19"/>
  <c r="K116" i="19" s="1"/>
  <c r="K118" i="19"/>
  <c r="L120" i="19"/>
  <c r="M120" i="19"/>
  <c r="P120" i="19" s="1"/>
  <c r="N120" i="19"/>
  <c r="O120" i="19"/>
  <c r="O123" i="19"/>
  <c r="P123" i="19"/>
  <c r="L124" i="19"/>
  <c r="O124" i="19" s="1"/>
  <c r="M124" i="19"/>
  <c r="M122" i="19" s="1"/>
  <c r="P122" i="19" s="1"/>
  <c r="N124" i="19"/>
  <c r="N122" i="19" s="1"/>
  <c r="O126" i="19"/>
  <c r="P126" i="19"/>
  <c r="L127" i="19"/>
  <c r="L125" i="19" s="1"/>
  <c r="M127" i="19"/>
  <c r="N127" i="19"/>
  <c r="N125" i="19" s="1"/>
  <c r="J130" i="19"/>
  <c r="L133" i="19"/>
  <c r="M133" i="19"/>
  <c r="P133" i="19" s="1"/>
  <c r="N133" i="19"/>
  <c r="O133" i="19"/>
  <c r="O136" i="19"/>
  <c r="P136" i="19"/>
  <c r="L137" i="19"/>
  <c r="L135" i="19" s="1"/>
  <c r="O135" i="19" s="1"/>
  <c r="M137" i="19"/>
  <c r="N137" i="19"/>
  <c r="N135" i="19" s="1"/>
  <c r="O139" i="19"/>
  <c r="P139" i="19"/>
  <c r="L140" i="19"/>
  <c r="O140" i="19" s="1"/>
  <c r="M140" i="19"/>
  <c r="M138" i="19" s="1"/>
  <c r="P138" i="19" s="1"/>
  <c r="N140" i="19"/>
  <c r="I144" i="19"/>
  <c r="K144" i="19" s="1"/>
  <c r="I145" i="19"/>
  <c r="K145" i="19" s="1"/>
  <c r="I146" i="19"/>
  <c r="I130" i="19" s="1"/>
  <c r="K130" i="19" s="1"/>
  <c r="J148" i="19"/>
  <c r="L150" i="19"/>
  <c r="M150" i="19"/>
  <c r="N150" i="19"/>
  <c r="O150" i="19"/>
  <c r="O153" i="19"/>
  <c r="P153" i="19"/>
  <c r="L154" i="19"/>
  <c r="L152" i="19" s="1"/>
  <c r="O152" i="19" s="1"/>
  <c r="M154" i="19"/>
  <c r="M152" i="19" s="1"/>
  <c r="P152" i="19" s="1"/>
  <c r="N154" i="19"/>
  <c r="N152" i="19" s="1"/>
  <c r="O156" i="19"/>
  <c r="P156" i="19"/>
  <c r="L157" i="19"/>
  <c r="L155" i="19" s="1"/>
  <c r="O155" i="19" s="1"/>
  <c r="M157" i="19"/>
  <c r="M155" i="19" s="1"/>
  <c r="P155" i="19" s="1"/>
  <c r="N157" i="19"/>
  <c r="N155" i="19" s="1"/>
  <c r="I159" i="19"/>
  <c r="L166" i="19"/>
  <c r="O166" i="19" s="1"/>
  <c r="M166" i="19"/>
  <c r="N166" i="19"/>
  <c r="O169" i="19"/>
  <c r="P169" i="19"/>
  <c r="L170" i="19"/>
  <c r="M170" i="19"/>
  <c r="N170" i="19"/>
  <c r="O172" i="19"/>
  <c r="P172" i="19"/>
  <c r="L173" i="19"/>
  <c r="L171" i="19" s="1"/>
  <c r="O171" i="19" s="1"/>
  <c r="M173" i="19"/>
  <c r="P173" i="19" s="1"/>
  <c r="N173" i="19"/>
  <c r="N171" i="19" s="1"/>
  <c r="J174" i="19"/>
  <c r="I176" i="19"/>
  <c r="I174" i="19" s="1"/>
  <c r="J177" i="19"/>
  <c r="L182" i="19"/>
  <c r="M182" i="19"/>
  <c r="N182" i="19"/>
  <c r="O185" i="19"/>
  <c r="P185" i="19"/>
  <c r="L186" i="19"/>
  <c r="L184" i="19" s="1"/>
  <c r="M186" i="19"/>
  <c r="M184" i="19" s="1"/>
  <c r="N186" i="19"/>
  <c r="N184" i="19" s="1"/>
  <c r="O188" i="19"/>
  <c r="P188" i="19"/>
  <c r="L189" i="19"/>
  <c r="M189" i="19"/>
  <c r="N189" i="19"/>
  <c r="J190" i="19"/>
  <c r="L191" i="19"/>
  <c r="O191" i="19" s="1"/>
  <c r="P191" i="19"/>
  <c r="I193" i="19"/>
  <c r="K193" i="19" s="1"/>
  <c r="J194" i="19"/>
  <c r="J197" i="19"/>
  <c r="N198" i="19"/>
  <c r="P198" i="19"/>
  <c r="L199" i="19"/>
  <c r="L200" i="19"/>
  <c r="L201" i="19"/>
  <c r="L202" i="19"/>
  <c r="I204" i="19"/>
  <c r="K204" i="19" s="1"/>
  <c r="K206" i="19"/>
  <c r="K207" i="19"/>
  <c r="J208" i="19"/>
  <c r="N209" i="19"/>
  <c r="P209" i="19"/>
  <c r="L210" i="19"/>
  <c r="L211" i="19"/>
  <c r="L212" i="19"/>
  <c r="I214" i="19"/>
  <c r="K214" i="19" s="1"/>
  <c r="I215" i="19"/>
  <c r="I208" i="19" s="1"/>
  <c r="J216" i="19"/>
  <c r="N217" i="19"/>
  <c r="P217" i="19"/>
  <c r="L218" i="19"/>
  <c r="L219" i="19"/>
  <c r="L220" i="19"/>
  <c r="I223" i="19"/>
  <c r="K223" i="19" s="1"/>
  <c r="I224" i="19"/>
  <c r="I225" i="19"/>
  <c r="N228" i="19"/>
  <c r="N229" i="19"/>
  <c r="N230" i="19"/>
  <c r="N231" i="19"/>
  <c r="J233" i="19"/>
  <c r="I235" i="19"/>
  <c r="K235" i="19" s="1"/>
  <c r="J235" i="19"/>
  <c r="I236" i="19"/>
  <c r="J236" i="19"/>
  <c r="J237" i="19"/>
  <c r="N238" i="19"/>
  <c r="P238" i="19"/>
  <c r="L239" i="19"/>
  <c r="L240" i="19"/>
  <c r="L241" i="19"/>
  <c r="L242" i="19"/>
  <c r="I244" i="19"/>
  <c r="K244" i="19" s="1"/>
  <c r="K246" i="19"/>
  <c r="K247" i="19"/>
  <c r="J248" i="19"/>
  <c r="J226" i="19" s="1"/>
  <c r="J180" i="19" s="1"/>
  <c r="N249" i="19"/>
  <c r="P249" i="19"/>
  <c r="L250" i="19"/>
  <c r="L251" i="19"/>
  <c r="L252" i="19"/>
  <c r="L253" i="19"/>
  <c r="I255" i="19"/>
  <c r="K255" i="19" s="1"/>
  <c r="K257" i="19"/>
  <c r="K258" i="19"/>
  <c r="J260" i="19"/>
  <c r="L262" i="19"/>
  <c r="M262" i="19"/>
  <c r="P262" i="19" s="1"/>
  <c r="N262" i="19"/>
  <c r="O265" i="19"/>
  <c r="P265" i="19"/>
  <c r="L266" i="19"/>
  <c r="M266" i="19"/>
  <c r="M264" i="19" s="1"/>
  <c r="N266" i="19"/>
  <c r="O268" i="19"/>
  <c r="P268" i="19"/>
  <c r="L269" i="19"/>
  <c r="O269" i="19" s="1"/>
  <c r="M269" i="19"/>
  <c r="M267" i="19" s="1"/>
  <c r="P267" i="19" s="1"/>
  <c r="N269" i="19"/>
  <c r="N267" i="19" s="1"/>
  <c r="I271" i="19"/>
  <c r="K271" i="19" s="1"/>
  <c r="J276" i="19"/>
  <c r="L278" i="19"/>
  <c r="O278" i="19" s="1"/>
  <c r="M278" i="19"/>
  <c r="N278" i="19"/>
  <c r="P278" i="19"/>
  <c r="O281" i="19"/>
  <c r="P281" i="19"/>
  <c r="L282" i="19"/>
  <c r="M282" i="19"/>
  <c r="M280" i="19" s="1"/>
  <c r="N282" i="19"/>
  <c r="O284" i="19"/>
  <c r="P284" i="19"/>
  <c r="L285" i="19"/>
  <c r="L283" i="19" s="1"/>
  <c r="O283" i="19" s="1"/>
  <c r="M285" i="19"/>
  <c r="N285" i="19"/>
  <c r="N283" i="19" s="1"/>
  <c r="I287" i="19"/>
  <c r="I276" i="19" s="1"/>
  <c r="I288" i="19"/>
  <c r="I275" i="19" s="1"/>
  <c r="I290" i="19"/>
  <c r="K290" i="19" s="1"/>
  <c r="I291" i="19"/>
  <c r="K291" i="19" s="1"/>
  <c r="I293" i="19"/>
  <c r="K293" i="19" s="1"/>
  <c r="I294" i="19"/>
  <c r="K294" i="19" s="1"/>
  <c r="J297" i="19"/>
  <c r="L299" i="19"/>
  <c r="O299" i="19" s="1"/>
  <c r="M299" i="19"/>
  <c r="N299" i="19"/>
  <c r="O302" i="19"/>
  <c r="P302" i="19"/>
  <c r="L303" i="19"/>
  <c r="O303" i="19" s="1"/>
  <c r="M303" i="19"/>
  <c r="M301" i="19" s="1"/>
  <c r="P301" i="19" s="1"/>
  <c r="N303" i="19"/>
  <c r="N301" i="19" s="1"/>
  <c r="O305" i="19"/>
  <c r="P305" i="19"/>
  <c r="L306" i="19"/>
  <c r="O306" i="19" s="1"/>
  <c r="M306" i="19"/>
  <c r="M304" i="19" s="1"/>
  <c r="P304" i="19" s="1"/>
  <c r="N306" i="19"/>
  <c r="N304" i="19" s="1"/>
  <c r="I309" i="19"/>
  <c r="I297" i="19" s="1"/>
  <c r="K297" i="19" s="1"/>
  <c r="I310" i="19"/>
  <c r="K310" i="19" s="1"/>
  <c r="I311" i="19"/>
  <c r="K311" i="19" s="1"/>
  <c r="I312" i="19"/>
  <c r="K312" i="19" s="1"/>
  <c r="J314" i="19"/>
  <c r="L316" i="19"/>
  <c r="O316" i="19" s="1"/>
  <c r="M316" i="19"/>
  <c r="N316" i="19"/>
  <c r="O319" i="19"/>
  <c r="P319" i="19"/>
  <c r="L320" i="19"/>
  <c r="L318" i="19" s="1"/>
  <c r="M320" i="19"/>
  <c r="M318" i="19" s="1"/>
  <c r="N320" i="19"/>
  <c r="O322" i="19"/>
  <c r="P322" i="19"/>
  <c r="L323" i="19"/>
  <c r="L321" i="19" s="1"/>
  <c r="O321" i="19" s="1"/>
  <c r="M323" i="19"/>
  <c r="M321" i="19" s="1"/>
  <c r="P321" i="19" s="1"/>
  <c r="N323" i="19"/>
  <c r="N321" i="19" s="1"/>
  <c r="I325" i="19"/>
  <c r="K325" i="19" s="1"/>
  <c r="I327" i="19"/>
  <c r="L329" i="19"/>
  <c r="M329" i="19"/>
  <c r="N329" i="19"/>
  <c r="O329" i="19"/>
  <c r="O332" i="19"/>
  <c r="P332" i="19"/>
  <c r="L333" i="19"/>
  <c r="L331" i="19" s="1"/>
  <c r="M333" i="19"/>
  <c r="M331" i="19" s="1"/>
  <c r="N333" i="19"/>
  <c r="N331" i="19" s="1"/>
  <c r="O335" i="19"/>
  <c r="P335" i="19"/>
  <c r="L336" i="19"/>
  <c r="L334" i="19" s="1"/>
  <c r="O334" i="19" s="1"/>
  <c r="M336" i="19"/>
  <c r="N336" i="19"/>
  <c r="N334" i="19" s="1"/>
  <c r="D337" i="19"/>
  <c r="I338" i="19"/>
  <c r="J338" i="19"/>
  <c r="I340" i="19"/>
  <c r="J340" i="19"/>
  <c r="J341" i="19"/>
  <c r="J342" i="19"/>
  <c r="J343" i="19"/>
  <c r="L346" i="19"/>
  <c r="O346" i="19" s="1"/>
  <c r="M346" i="19"/>
  <c r="N346" i="19"/>
  <c r="O349" i="19"/>
  <c r="P349" i="19"/>
  <c r="L350" i="19"/>
  <c r="L348" i="19" s="1"/>
  <c r="M350" i="19"/>
  <c r="M348" i="19" s="1"/>
  <c r="N350" i="19"/>
  <c r="O352" i="19"/>
  <c r="P352" i="19"/>
  <c r="L353" i="19"/>
  <c r="L351" i="19" s="1"/>
  <c r="M353" i="19"/>
  <c r="N353" i="19"/>
  <c r="N351" i="19" s="1"/>
  <c r="I355" i="19"/>
  <c r="J358" i="19"/>
  <c r="K358" i="19"/>
  <c r="I359" i="19"/>
  <c r="J359" i="19"/>
  <c r="I360" i="19"/>
  <c r="J360" i="19"/>
  <c r="J361" i="19"/>
  <c r="K361" i="19"/>
  <c r="I362" i="19"/>
  <c r="J362" i="19"/>
  <c r="J355" i="19" s="1"/>
  <c r="J363" i="19"/>
  <c r="K363" i="19"/>
  <c r="I365" i="19"/>
  <c r="J368" i="19"/>
  <c r="K368" i="19"/>
  <c r="I369" i="19"/>
  <c r="J369" i="19"/>
  <c r="I370" i="19"/>
  <c r="J370" i="19"/>
  <c r="J371" i="19"/>
  <c r="K371" i="19"/>
  <c r="I372" i="19"/>
  <c r="J372" i="19"/>
  <c r="J365" i="19" s="1"/>
  <c r="A373" i="19"/>
  <c r="J373" i="19"/>
  <c r="K373" i="19"/>
  <c r="I374" i="19"/>
  <c r="J377" i="19"/>
  <c r="K377" i="19"/>
  <c r="I378" i="19"/>
  <c r="J378" i="19"/>
  <c r="I379" i="19"/>
  <c r="J379" i="19"/>
  <c r="J380" i="19"/>
  <c r="K380" i="19"/>
  <c r="I381" i="19"/>
  <c r="J381" i="19"/>
  <c r="A382" i="19"/>
  <c r="J382" i="19"/>
  <c r="K382" i="19"/>
  <c r="D384" i="19"/>
  <c r="I385" i="19"/>
  <c r="J385" i="19"/>
  <c r="I388" i="19"/>
  <c r="K388" i="19" s="1"/>
  <c r="J388" i="19"/>
  <c r="L390" i="19"/>
  <c r="M390" i="19"/>
  <c r="P390" i="19" s="1"/>
  <c r="N390" i="19"/>
  <c r="O390" i="19"/>
  <c r="O393" i="19"/>
  <c r="P393" i="19"/>
  <c r="L394" i="19"/>
  <c r="L392" i="19" s="1"/>
  <c r="O392" i="19" s="1"/>
  <c r="M394" i="19"/>
  <c r="P394" i="19" s="1"/>
  <c r="N394" i="19"/>
  <c r="N392" i="19" s="1"/>
  <c r="O396" i="19"/>
  <c r="P396" i="19"/>
  <c r="L397" i="19"/>
  <c r="M397" i="19"/>
  <c r="M395" i="19" s="1"/>
  <c r="P395" i="19" s="1"/>
  <c r="N397" i="19"/>
  <c r="N395" i="19" s="1"/>
  <c r="K399" i="19"/>
  <c r="K400" i="19"/>
  <c r="I401" i="19"/>
  <c r="K401" i="19" s="1"/>
  <c r="J401" i="19"/>
  <c r="L403" i="19"/>
  <c r="O403" i="19" s="1"/>
  <c r="M403" i="19"/>
  <c r="P403" i="19" s="1"/>
  <c r="N403" i="19"/>
  <c r="O406" i="19"/>
  <c r="P406" i="19"/>
  <c r="L407" i="19"/>
  <c r="M407" i="19"/>
  <c r="M405" i="19" s="1"/>
  <c r="P405" i="19" s="1"/>
  <c r="N407" i="19"/>
  <c r="N405" i="19" s="1"/>
  <c r="O409" i="19"/>
  <c r="P409" i="19"/>
  <c r="L410" i="19"/>
  <c r="M410" i="19"/>
  <c r="M408" i="19" s="1"/>
  <c r="P408" i="19" s="1"/>
  <c r="N410" i="19"/>
  <c r="N408" i="19" s="1"/>
  <c r="K412" i="19"/>
  <c r="K413" i="19"/>
  <c r="L420" i="19"/>
  <c r="O420" i="19" s="1"/>
  <c r="M420" i="19"/>
  <c r="N420" i="19"/>
  <c r="O423" i="19"/>
  <c r="P423" i="19"/>
  <c r="L424" i="19"/>
  <c r="N424" i="19"/>
  <c r="N421" i="19" s="1"/>
  <c r="N419" i="19" s="1"/>
  <c r="M429" i="19"/>
  <c r="P429" i="19" s="1"/>
  <c r="N429" i="19"/>
  <c r="O430" i="19"/>
  <c r="P430" i="19"/>
  <c r="L431" i="19"/>
  <c r="P431" i="19"/>
  <c r="J434" i="19"/>
  <c r="J418" i="19" s="1"/>
  <c r="I435" i="19"/>
  <c r="I433" i="19" s="1"/>
  <c r="I417" i="19" s="1"/>
  <c r="I437" i="19"/>
  <c r="K437" i="19" s="1"/>
  <c r="I438" i="19"/>
  <c r="K438" i="19" s="1"/>
  <c r="I439" i="19"/>
  <c r="K439" i="19" s="1"/>
  <c r="I440" i="19"/>
  <c r="K440" i="19" s="1"/>
  <c r="I441" i="19"/>
  <c r="K441" i="19" s="1"/>
  <c r="J442" i="19"/>
  <c r="J443" i="19"/>
  <c r="L445" i="19"/>
  <c r="M445" i="19"/>
  <c r="P445" i="19" s="1"/>
  <c r="N445" i="19"/>
  <c r="M446" i="19"/>
  <c r="P446" i="19" s="1"/>
  <c r="M447" i="19"/>
  <c r="P447" i="19" s="1"/>
  <c r="O448" i="19"/>
  <c r="P448" i="19"/>
  <c r="L449" i="19"/>
  <c r="N449" i="19"/>
  <c r="N446" i="19" s="1"/>
  <c r="P449" i="19"/>
  <c r="M454" i="19"/>
  <c r="P454" i="19" s="1"/>
  <c r="N454" i="19"/>
  <c r="O455" i="19"/>
  <c r="P455" i="19"/>
  <c r="L456" i="19"/>
  <c r="P456" i="19"/>
  <c r="K458" i="19"/>
  <c r="I460" i="19"/>
  <c r="I462" i="19"/>
  <c r="K462" i="19" s="1"/>
  <c r="I463" i="19"/>
  <c r="I464" i="19"/>
  <c r="I465" i="19"/>
  <c r="J465" i="19"/>
  <c r="I466" i="19"/>
  <c r="K466" i="19" s="1"/>
  <c r="J466" i="19"/>
  <c r="L468" i="19"/>
  <c r="O468" i="19" s="1"/>
  <c r="M468" i="19"/>
  <c r="N468" i="19"/>
  <c r="O471" i="19"/>
  <c r="P471" i="19"/>
  <c r="L472" i="19"/>
  <c r="N472" i="19"/>
  <c r="N470" i="19" s="1"/>
  <c r="M477" i="19"/>
  <c r="P477" i="19" s="1"/>
  <c r="N477" i="19"/>
  <c r="O478" i="19"/>
  <c r="P478" i="19"/>
  <c r="L479" i="19"/>
  <c r="P479" i="19"/>
  <c r="I483" i="19"/>
  <c r="K483" i="19" s="1"/>
  <c r="I485" i="19"/>
  <c r="K485" i="19" s="1"/>
  <c r="I487" i="19"/>
  <c r="K487" i="19" s="1"/>
  <c r="I489" i="19"/>
  <c r="K489" i="19" s="1"/>
  <c r="I492" i="19"/>
  <c r="K492" i="19" s="1"/>
  <c r="I495" i="19"/>
  <c r="K495" i="19" s="1"/>
  <c r="I498" i="19"/>
  <c r="K498" i="19" s="1"/>
  <c r="J500" i="19"/>
  <c r="K500" i="19"/>
  <c r="K501" i="19"/>
  <c r="L503" i="19"/>
  <c r="M503" i="19"/>
  <c r="N503" i="19"/>
  <c r="P503" i="19"/>
  <c r="L504" i="19"/>
  <c r="O504" i="19" s="1"/>
  <c r="M504" i="19"/>
  <c r="P504" i="19" s="1"/>
  <c r="L505" i="19"/>
  <c r="O505" i="19" s="1"/>
  <c r="M505" i="19"/>
  <c r="P505" i="19"/>
  <c r="O506" i="19"/>
  <c r="P506" i="19"/>
  <c r="N507" i="19"/>
  <c r="N505" i="19" s="1"/>
  <c r="O507" i="19"/>
  <c r="P507" i="19"/>
  <c r="L512" i="19"/>
  <c r="O512" i="19" s="1"/>
  <c r="M512" i="19"/>
  <c r="N512" i="19"/>
  <c r="P512" i="19"/>
  <c r="O513" i="19"/>
  <c r="P513" i="19"/>
  <c r="O514" i="19"/>
  <c r="P514" i="19"/>
  <c r="K516" i="19"/>
  <c r="J517" i="19"/>
  <c r="J501" i="19" s="1"/>
  <c r="K517" i="19"/>
  <c r="L524" i="19"/>
  <c r="M524" i="19"/>
  <c r="P524" i="19" s="1"/>
  <c r="N524" i="19"/>
  <c r="O527" i="19"/>
  <c r="P527" i="19"/>
  <c r="L528" i="19"/>
  <c r="L526" i="19" s="1"/>
  <c r="N528" i="19"/>
  <c r="N525" i="19" s="1"/>
  <c r="M533" i="19"/>
  <c r="P533" i="19" s="1"/>
  <c r="N533" i="19"/>
  <c r="O534" i="19"/>
  <c r="P534" i="19"/>
  <c r="L535" i="19"/>
  <c r="L533" i="19" s="1"/>
  <c r="O533" i="19" s="1"/>
  <c r="P535" i="19"/>
  <c r="I537" i="19"/>
  <c r="I538" i="19"/>
  <c r="K538" i="19" s="1"/>
  <c r="I539" i="19"/>
  <c r="K539" i="19" s="1"/>
  <c r="I540" i="19"/>
  <c r="K540" i="19" s="1"/>
  <c r="I541" i="19"/>
  <c r="K541" i="19" s="1"/>
  <c r="I542" i="19"/>
  <c r="K542" i="19" s="1"/>
  <c r="L545" i="19"/>
  <c r="O545" i="19"/>
  <c r="O548" i="19"/>
  <c r="P548" i="19"/>
  <c r="L549" i="19"/>
  <c r="M549" i="19" s="1"/>
  <c r="M547" i="19" s="1"/>
  <c r="N549" i="19"/>
  <c r="N547" i="19" s="1"/>
  <c r="N553" i="19"/>
  <c r="M555" i="19"/>
  <c r="M545" i="19" s="1"/>
  <c r="N555" i="19"/>
  <c r="N545" i="19" s="1"/>
  <c r="O556" i="19"/>
  <c r="P556" i="19"/>
  <c r="L557" i="19"/>
  <c r="P557" i="19"/>
  <c r="I560" i="19"/>
  <c r="J560" i="19"/>
  <c r="I561" i="19"/>
  <c r="J561" i="19"/>
  <c r="I568" i="19"/>
  <c r="J568" i="19"/>
  <c r="I569" i="19"/>
  <c r="J569" i="19"/>
  <c r="I576" i="19"/>
  <c r="K576" i="19" s="1"/>
  <c r="J576" i="19"/>
  <c r="J559" i="19" s="1"/>
  <c r="J543" i="19" s="1"/>
  <c r="I577" i="19"/>
  <c r="K577" i="19" s="1"/>
  <c r="J582" i="19"/>
  <c r="J583" i="19"/>
  <c r="J577" i="19" s="1"/>
  <c r="I593" i="19"/>
  <c r="I592" i="19" s="1"/>
  <c r="I594" i="19"/>
  <c r="J595" i="19"/>
  <c r="J593" i="19" s="1"/>
  <c r="J596" i="19"/>
  <c r="J603" i="19"/>
  <c r="J604" i="19"/>
  <c r="J594" i="19" s="1"/>
  <c r="J611" i="19"/>
  <c r="K611" i="19"/>
  <c r="J612" i="19"/>
  <c r="K612" i="19"/>
  <c r="J613" i="19"/>
  <c r="K613" i="19"/>
  <c r="I620" i="19"/>
  <c r="K620" i="19" s="1"/>
  <c r="J620" i="19"/>
  <c r="I621" i="19"/>
  <c r="J621" i="19"/>
  <c r="L630" i="19"/>
  <c r="O630" i="19" s="1"/>
  <c r="M630" i="19"/>
  <c r="P630" i="19" s="1"/>
  <c r="N630" i="19"/>
  <c r="N632" i="19"/>
  <c r="O633" i="19"/>
  <c r="P633" i="19"/>
  <c r="L634" i="19"/>
  <c r="N634" i="19"/>
  <c r="M639" i="19"/>
  <c r="P639" i="19" s="1"/>
  <c r="N639" i="19"/>
  <c r="O640" i="19"/>
  <c r="P640" i="19"/>
  <c r="L641" i="19"/>
  <c r="O641" i="19" s="1"/>
  <c r="P641" i="19"/>
  <c r="I643" i="19"/>
  <c r="K643" i="19" s="1"/>
  <c r="I644" i="19"/>
  <c r="K644" i="19" s="1"/>
  <c r="J645" i="19"/>
  <c r="K645" i="19"/>
  <c r="J646" i="19"/>
  <c r="K646" i="19"/>
  <c r="I647" i="19"/>
  <c r="J647" i="19"/>
  <c r="J648" i="19"/>
  <c r="K648" i="19"/>
  <c r="I649" i="19"/>
  <c r="J649" i="19"/>
  <c r="J650" i="19"/>
  <c r="K650" i="19"/>
  <c r="I651" i="19"/>
  <c r="J651" i="19"/>
  <c r="J628" i="19" s="1"/>
  <c r="A652" i="19"/>
  <c r="J652" i="19"/>
  <c r="K652" i="19"/>
  <c r="L656" i="19"/>
  <c r="O656" i="19" s="1"/>
  <c r="M656" i="19"/>
  <c r="N656" i="19"/>
  <c r="N658" i="19"/>
  <c r="O659" i="19"/>
  <c r="P659" i="19"/>
  <c r="L660" i="19"/>
  <c r="L657" i="19" s="1"/>
  <c r="N660" i="19"/>
  <c r="N657" i="19" s="1"/>
  <c r="L665" i="19"/>
  <c r="O665" i="19" s="1"/>
  <c r="M665" i="19"/>
  <c r="P665" i="19" s="1"/>
  <c r="N665" i="19"/>
  <c r="O666" i="19"/>
  <c r="P666" i="19"/>
  <c r="O667" i="19"/>
  <c r="P667" i="19"/>
  <c r="I669" i="19"/>
  <c r="K673" i="19" s="1"/>
  <c r="I670" i="19"/>
  <c r="K670" i="19" s="1"/>
  <c r="I671" i="19"/>
  <c r="K671" i="19" s="1"/>
  <c r="J675" i="19"/>
  <c r="J669" i="19" s="1"/>
  <c r="J654" i="19" s="1"/>
  <c r="I678" i="19"/>
  <c r="K678" i="19" s="1"/>
  <c r="J679" i="19"/>
  <c r="J678" i="19" s="1"/>
  <c r="L686" i="19"/>
  <c r="M686" i="19"/>
  <c r="N686" i="19"/>
  <c r="O686" i="19"/>
  <c r="P686" i="19"/>
  <c r="M687" i="19"/>
  <c r="M685" i="19" s="1"/>
  <c r="P685" i="19" s="1"/>
  <c r="M688" i="19"/>
  <c r="P688" i="19" s="1"/>
  <c r="L690" i="19"/>
  <c r="L688" i="19" s="1"/>
  <c r="O688" i="19" s="1"/>
  <c r="N690" i="19"/>
  <c r="N687" i="19" s="1"/>
  <c r="N685" i="19" s="1"/>
  <c r="P690" i="19"/>
  <c r="L695" i="19"/>
  <c r="O695" i="19" s="1"/>
  <c r="M695" i="19"/>
  <c r="N695" i="19"/>
  <c r="P695" i="19"/>
  <c r="O696" i="19"/>
  <c r="P696" i="19"/>
  <c r="O697" i="19"/>
  <c r="P697" i="19"/>
  <c r="I699" i="19"/>
  <c r="K699" i="19" s="1"/>
  <c r="J699" i="19"/>
  <c r="I700" i="19"/>
  <c r="K700" i="19" s="1"/>
  <c r="J700" i="19"/>
  <c r="I701" i="19"/>
  <c r="K701" i="19" s="1"/>
  <c r="J701" i="19"/>
  <c r="I704" i="19"/>
  <c r="I707" i="19"/>
  <c r="I708" i="19"/>
  <c r="K708" i="19" s="1"/>
  <c r="J708" i="19"/>
  <c r="J718" i="19"/>
  <c r="J719" i="19"/>
  <c r="I720" i="19"/>
  <c r="K720" i="19" s="1"/>
  <c r="J720" i="19"/>
  <c r="I721" i="19"/>
  <c r="K721" i="19" s="1"/>
  <c r="I722" i="19"/>
  <c r="K722" i="19" s="1"/>
  <c r="I723" i="19"/>
  <c r="K723" i="19" s="1"/>
  <c r="J723" i="19"/>
  <c r="J724" i="19"/>
  <c r="I725" i="19"/>
  <c r="K725" i="19" s="1"/>
  <c r="J725" i="19"/>
  <c r="I726" i="19"/>
  <c r="K726" i="19" s="1"/>
  <c r="J726" i="19"/>
  <c r="J727" i="19"/>
  <c r="I728" i="19"/>
  <c r="K728" i="19" s="1"/>
  <c r="J728" i="19"/>
  <c r="I729" i="19"/>
  <c r="K729" i="19" s="1"/>
  <c r="J729" i="19"/>
  <c r="J736" i="19"/>
  <c r="K736" i="19"/>
  <c r="L738" i="19"/>
  <c r="L737" i="19" s="1"/>
  <c r="O737" i="19" s="1"/>
  <c r="M738" i="19"/>
  <c r="M737" i="19" s="1"/>
  <c r="P737" i="19" s="1"/>
  <c r="N738" i="19"/>
  <c r="L739" i="19"/>
  <c r="O739" i="19" s="1"/>
  <c r="M739" i="19"/>
  <c r="P739" i="19" s="1"/>
  <c r="N739" i="19"/>
  <c r="N737" i="19" s="1"/>
  <c r="L740" i="19"/>
  <c r="O740" i="19" s="1"/>
  <c r="M740" i="19"/>
  <c r="P740" i="19" s="1"/>
  <c r="O741" i="19"/>
  <c r="P741" i="19"/>
  <c r="N742" i="19"/>
  <c r="N740" i="19" s="1"/>
  <c r="O742" i="19"/>
  <c r="P742" i="19"/>
  <c r="L747" i="19"/>
  <c r="O747" i="19" s="1"/>
  <c r="M747" i="19"/>
  <c r="P747" i="19" s="1"/>
  <c r="N747" i="19"/>
  <c r="O748" i="19"/>
  <c r="P748" i="19"/>
  <c r="O749" i="19"/>
  <c r="P749" i="19"/>
  <c r="J753" i="19"/>
  <c r="K753" i="19"/>
  <c r="L755" i="19"/>
  <c r="L754" i="19" s="1"/>
  <c r="O754" i="19" s="1"/>
  <c r="M755" i="19"/>
  <c r="N755" i="19"/>
  <c r="P755" i="19"/>
  <c r="L756" i="19"/>
  <c r="O756" i="19" s="1"/>
  <c r="M756" i="19"/>
  <c r="P756" i="19" s="1"/>
  <c r="L757" i="19"/>
  <c r="M757" i="19"/>
  <c r="P757" i="19" s="1"/>
  <c r="O757" i="19"/>
  <c r="O758" i="19"/>
  <c r="P758" i="19"/>
  <c r="N759" i="19"/>
  <c r="N757" i="19" s="1"/>
  <c r="O759" i="19"/>
  <c r="P759" i="19"/>
  <c r="L764" i="19"/>
  <c r="M764" i="19"/>
  <c r="N764" i="19"/>
  <c r="O764" i="19"/>
  <c r="P764" i="19"/>
  <c r="O765" i="19"/>
  <c r="P765" i="19"/>
  <c r="O766" i="19"/>
  <c r="P766" i="19"/>
  <c r="J769" i="19"/>
  <c r="K769" i="19"/>
  <c r="L771" i="19"/>
  <c r="M771" i="19"/>
  <c r="M770" i="19" s="1"/>
  <c r="P770" i="19" s="1"/>
  <c r="N771" i="19"/>
  <c r="L772" i="19"/>
  <c r="O772" i="19" s="1"/>
  <c r="M772" i="19"/>
  <c r="P772" i="19" s="1"/>
  <c r="L773" i="19"/>
  <c r="O773" i="19" s="1"/>
  <c r="M773" i="19"/>
  <c r="P773" i="19" s="1"/>
  <c r="O774" i="19"/>
  <c r="P774" i="19"/>
  <c r="N775" i="19"/>
  <c r="N773" i="19" s="1"/>
  <c r="O775" i="19"/>
  <c r="P775" i="19"/>
  <c r="L780" i="19"/>
  <c r="M780" i="19"/>
  <c r="P780" i="19" s="1"/>
  <c r="N780" i="19"/>
  <c r="O780" i="19"/>
  <c r="O781" i="19"/>
  <c r="P781" i="19"/>
  <c r="O782" i="19"/>
  <c r="P782" i="19"/>
  <c r="N786" i="19"/>
  <c r="L787" i="19"/>
  <c r="O787" i="19" s="1"/>
  <c r="M787" i="19"/>
  <c r="N787" i="19"/>
  <c r="P787" i="19"/>
  <c r="N789" i="19"/>
  <c r="O790" i="19"/>
  <c r="P790" i="19"/>
  <c r="L791" i="19"/>
  <c r="L788" i="19" s="1"/>
  <c r="N795" i="19"/>
  <c r="N791" i="19" s="1"/>
  <c r="N788" i="19" s="1"/>
  <c r="L796" i="19"/>
  <c r="O796" i="19" s="1"/>
  <c r="M796" i="19"/>
  <c r="P796" i="19" s="1"/>
  <c r="N796" i="19"/>
  <c r="O797" i="19"/>
  <c r="P797" i="19"/>
  <c r="O798" i="19"/>
  <c r="P798" i="19"/>
  <c r="J800" i="19"/>
  <c r="I801" i="19"/>
  <c r="J801" i="19"/>
  <c r="J802" i="19"/>
  <c r="I803" i="19"/>
  <c r="J803" i="19"/>
  <c r="J804" i="19"/>
  <c r="K804" i="19"/>
  <c r="L806" i="19"/>
  <c r="O806" i="19" s="1"/>
  <c r="M806" i="19"/>
  <c r="N806" i="19"/>
  <c r="P806" i="19"/>
  <c r="L807" i="19"/>
  <c r="O807" i="19" s="1"/>
  <c r="M807" i="19"/>
  <c r="N807" i="19"/>
  <c r="N805" i="19" s="1"/>
  <c r="P807" i="19"/>
  <c r="L808" i="19"/>
  <c r="O808" i="19" s="1"/>
  <c r="M808" i="19"/>
  <c r="P808" i="19" s="1"/>
  <c r="O809" i="19"/>
  <c r="P809" i="19"/>
  <c r="N810" i="19"/>
  <c r="N808" i="19" s="1"/>
  <c r="O810" i="19"/>
  <c r="P810" i="19"/>
  <c r="L815" i="19"/>
  <c r="M815" i="19"/>
  <c r="P815" i="19" s="1"/>
  <c r="N815" i="19"/>
  <c r="O815" i="19"/>
  <c r="O816" i="19"/>
  <c r="P816" i="19"/>
  <c r="O817" i="19"/>
  <c r="P817" i="19"/>
  <c r="H820" i="19"/>
  <c r="I821" i="19"/>
  <c r="J821" i="19"/>
  <c r="I822" i="19"/>
  <c r="J822" i="19"/>
  <c r="I823" i="19"/>
  <c r="J823" i="19"/>
  <c r="I824" i="19"/>
  <c r="J824" i="19"/>
  <c r="I825" i="19"/>
  <c r="K825" i="19" s="1"/>
  <c r="J825" i="19"/>
  <c r="I826" i="19"/>
  <c r="K826" i="19" s="1"/>
  <c r="J826" i="19"/>
  <c r="I827" i="19"/>
  <c r="J827" i="19"/>
  <c r="I828" i="19"/>
  <c r="J828" i="19"/>
  <c r="L22" i="18"/>
  <c r="M22" i="18"/>
  <c r="P22" i="18" s="1"/>
  <c r="N22" i="18"/>
  <c r="L25" i="18"/>
  <c r="M25" i="18"/>
  <c r="N25" i="18"/>
  <c r="O25" i="18"/>
  <c r="L32" i="18"/>
  <c r="O32" i="18" s="1"/>
  <c r="M32" i="18"/>
  <c r="N32" i="18"/>
  <c r="L35" i="18"/>
  <c r="L29" i="18" s="1"/>
  <c r="M35" i="18"/>
  <c r="P35" i="18" s="1"/>
  <c r="N35" i="18"/>
  <c r="N15" i="18" s="1"/>
  <c r="M36" i="18"/>
  <c r="P36" i="18" s="1"/>
  <c r="N36" i="18"/>
  <c r="L42" i="18"/>
  <c r="O42" i="18" s="1"/>
  <c r="M42" i="18"/>
  <c r="P42" i="18" s="1"/>
  <c r="N42" i="18"/>
  <c r="O45" i="18"/>
  <c r="P45" i="18"/>
  <c r="L46" i="18"/>
  <c r="M46" i="18"/>
  <c r="N46" i="18"/>
  <c r="O48" i="18"/>
  <c r="P48" i="18"/>
  <c r="L49" i="18"/>
  <c r="L47" i="18" s="1"/>
  <c r="O47" i="18" s="1"/>
  <c r="M49" i="18"/>
  <c r="M47" i="18" s="1"/>
  <c r="P47" i="18" s="1"/>
  <c r="N49" i="18"/>
  <c r="N47" i="18" s="1"/>
  <c r="L54" i="18"/>
  <c r="M54" i="18"/>
  <c r="N54" i="18"/>
  <c r="O54" i="18"/>
  <c r="O57" i="18"/>
  <c r="P57" i="18"/>
  <c r="L58" i="18"/>
  <c r="L56" i="18" s="1"/>
  <c r="M58" i="18"/>
  <c r="N58" i="18"/>
  <c r="O60" i="18"/>
  <c r="P60" i="18"/>
  <c r="L61" i="18"/>
  <c r="L59" i="18" s="1"/>
  <c r="O59" i="18" s="1"/>
  <c r="M61" i="18"/>
  <c r="M59" i="18" s="1"/>
  <c r="P59" i="18" s="1"/>
  <c r="N61" i="18"/>
  <c r="N59" i="18" s="1"/>
  <c r="L67" i="18"/>
  <c r="O67" i="18" s="1"/>
  <c r="M67" i="18"/>
  <c r="N67" i="18"/>
  <c r="O70" i="18"/>
  <c r="P70" i="18"/>
  <c r="L71" i="18"/>
  <c r="L69" i="18" s="1"/>
  <c r="M71" i="18"/>
  <c r="M69" i="18" s="1"/>
  <c r="N71" i="18"/>
  <c r="N69" i="18" s="1"/>
  <c r="O73" i="18"/>
  <c r="P73" i="18"/>
  <c r="L74" i="18"/>
  <c r="O74" i="18" s="1"/>
  <c r="M74" i="18"/>
  <c r="P74" i="18" s="1"/>
  <c r="N74" i="18"/>
  <c r="N72" i="18" s="1"/>
  <c r="J76" i="18"/>
  <c r="J64" i="18" s="1"/>
  <c r="J77" i="18"/>
  <c r="J65" i="18" s="1"/>
  <c r="I78" i="18"/>
  <c r="K78" i="18" s="1"/>
  <c r="I79" i="18"/>
  <c r="K79" i="18" s="1"/>
  <c r="I80" i="18"/>
  <c r="K80" i="18" s="1"/>
  <c r="I81" i="18"/>
  <c r="I82" i="18"/>
  <c r="K82" i="18" s="1"/>
  <c r="I83" i="18"/>
  <c r="K83" i="18" s="1"/>
  <c r="I84" i="18"/>
  <c r="K84" i="18" s="1"/>
  <c r="L89" i="18"/>
  <c r="M89" i="18"/>
  <c r="P89" i="18" s="1"/>
  <c r="N89" i="18"/>
  <c r="O92" i="18"/>
  <c r="P92" i="18"/>
  <c r="L93" i="18"/>
  <c r="M93" i="18"/>
  <c r="M91" i="18" s="1"/>
  <c r="N93" i="18"/>
  <c r="O95" i="18"/>
  <c r="P95" i="18"/>
  <c r="L96" i="18"/>
  <c r="M96" i="18"/>
  <c r="M94" i="18" s="1"/>
  <c r="P94" i="18" s="1"/>
  <c r="N96" i="18"/>
  <c r="N94" i="18" s="1"/>
  <c r="I98" i="18"/>
  <c r="I86" i="18" s="1"/>
  <c r="J98" i="18"/>
  <c r="I99" i="18"/>
  <c r="I87" i="18" s="1"/>
  <c r="J99" i="18"/>
  <c r="J87" i="18" s="1"/>
  <c r="I100" i="18"/>
  <c r="J100" i="18"/>
  <c r="I102" i="18"/>
  <c r="K102" i="18" s="1"/>
  <c r="I103" i="18"/>
  <c r="K103" i="18" s="1"/>
  <c r="I104" i="18"/>
  <c r="K104" i="18" s="1"/>
  <c r="I106" i="18"/>
  <c r="K106" i="18" s="1"/>
  <c r="I107" i="18"/>
  <c r="K107" i="18" s="1"/>
  <c r="I109" i="18"/>
  <c r="K109" i="18" s="1"/>
  <c r="I110" i="18"/>
  <c r="K110" i="18" s="1"/>
  <c r="I111" i="18"/>
  <c r="K111" i="18" s="1"/>
  <c r="J111" i="18"/>
  <c r="J112" i="18"/>
  <c r="I113" i="18"/>
  <c r="K113" i="18" s="1"/>
  <c r="I114" i="18"/>
  <c r="K114" i="18" s="1"/>
  <c r="I115" i="18"/>
  <c r="K115" i="18" s="1"/>
  <c r="I116" i="18"/>
  <c r="K118" i="18"/>
  <c r="L120" i="18"/>
  <c r="M120" i="18"/>
  <c r="P120" i="18" s="1"/>
  <c r="N120" i="18"/>
  <c r="O123" i="18"/>
  <c r="P123" i="18"/>
  <c r="L124" i="18"/>
  <c r="O124" i="18" s="1"/>
  <c r="M124" i="18"/>
  <c r="N124" i="18"/>
  <c r="N122" i="18" s="1"/>
  <c r="O126" i="18"/>
  <c r="P126" i="18"/>
  <c r="L127" i="18"/>
  <c r="L125" i="18" s="1"/>
  <c r="O125" i="18" s="1"/>
  <c r="M127" i="18"/>
  <c r="N127" i="18"/>
  <c r="N125" i="18" s="1"/>
  <c r="J130" i="18"/>
  <c r="L133" i="18"/>
  <c r="M133" i="18"/>
  <c r="P133" i="18" s="1"/>
  <c r="N133" i="18"/>
  <c r="O133" i="18"/>
  <c r="O136" i="18"/>
  <c r="P136" i="18"/>
  <c r="L137" i="18"/>
  <c r="L135" i="18" s="1"/>
  <c r="O135" i="18" s="1"/>
  <c r="M137" i="18"/>
  <c r="M135" i="18" s="1"/>
  <c r="P135" i="18" s="1"/>
  <c r="N137" i="18"/>
  <c r="N135" i="18" s="1"/>
  <c r="O139" i="18"/>
  <c r="P139" i="18"/>
  <c r="L140" i="18"/>
  <c r="O140" i="18" s="1"/>
  <c r="M140" i="18"/>
  <c r="M138" i="18" s="1"/>
  <c r="P138" i="18" s="1"/>
  <c r="N140" i="18"/>
  <c r="N138" i="18" s="1"/>
  <c r="I144" i="18"/>
  <c r="I145" i="18"/>
  <c r="I146" i="18"/>
  <c r="I130" i="18" s="1"/>
  <c r="K130" i="18" s="1"/>
  <c r="J148" i="18"/>
  <c r="L150" i="18"/>
  <c r="M150" i="18"/>
  <c r="P150" i="18" s="1"/>
  <c r="N150" i="18"/>
  <c r="O153" i="18"/>
  <c r="P153" i="18"/>
  <c r="L154" i="18"/>
  <c r="L152" i="18" s="1"/>
  <c r="M154" i="18"/>
  <c r="N154" i="18"/>
  <c r="O156" i="18"/>
  <c r="P156" i="18"/>
  <c r="L157" i="18"/>
  <c r="O157" i="18" s="1"/>
  <c r="M157" i="18"/>
  <c r="N157" i="18"/>
  <c r="N155" i="18" s="1"/>
  <c r="I159" i="18"/>
  <c r="I148" i="18" s="1"/>
  <c r="K148" i="18" s="1"/>
  <c r="L166" i="18"/>
  <c r="M166" i="18"/>
  <c r="P166" i="18" s="1"/>
  <c r="N166" i="18"/>
  <c r="O169" i="18"/>
  <c r="P169" i="18"/>
  <c r="L170" i="18"/>
  <c r="M170" i="18"/>
  <c r="M168" i="18" s="1"/>
  <c r="N170" i="18"/>
  <c r="N168" i="18" s="1"/>
  <c r="O172" i="18"/>
  <c r="P172" i="18"/>
  <c r="L173" i="18"/>
  <c r="O173" i="18" s="1"/>
  <c r="M173" i="18"/>
  <c r="M171" i="18" s="1"/>
  <c r="P171" i="18" s="1"/>
  <c r="N173" i="18"/>
  <c r="N171" i="18" s="1"/>
  <c r="J174" i="18"/>
  <c r="J164" i="18" s="1"/>
  <c r="I176" i="18"/>
  <c r="K176" i="18" s="1"/>
  <c r="J177" i="18"/>
  <c r="L182" i="18"/>
  <c r="M182" i="18"/>
  <c r="N182" i="18"/>
  <c r="P182" i="18"/>
  <c r="O185" i="18"/>
  <c r="P185" i="18"/>
  <c r="L186" i="18"/>
  <c r="L184" i="18" s="1"/>
  <c r="M186" i="18"/>
  <c r="M184" i="18" s="1"/>
  <c r="N186" i="18"/>
  <c r="N184" i="18" s="1"/>
  <c r="O188" i="18"/>
  <c r="P188" i="18"/>
  <c r="L189" i="18"/>
  <c r="O189" i="18" s="1"/>
  <c r="M189" i="18"/>
  <c r="M187" i="18" s="1"/>
  <c r="P187" i="18" s="1"/>
  <c r="N189" i="18"/>
  <c r="N187" i="18" s="1"/>
  <c r="J190" i="18"/>
  <c r="L191" i="18"/>
  <c r="O191" i="18" s="1"/>
  <c r="P191" i="18"/>
  <c r="I193" i="18"/>
  <c r="K193" i="18" s="1"/>
  <c r="J194" i="18"/>
  <c r="J197" i="18"/>
  <c r="N198" i="18"/>
  <c r="P198" i="18"/>
  <c r="L199" i="18"/>
  <c r="L200" i="18"/>
  <c r="L201" i="18"/>
  <c r="L202" i="18"/>
  <c r="I204" i="18"/>
  <c r="I197" i="18" s="1"/>
  <c r="K206" i="18"/>
  <c r="K207" i="18"/>
  <c r="J208" i="18"/>
  <c r="N209" i="18"/>
  <c r="P209" i="18"/>
  <c r="L210" i="18"/>
  <c r="L211" i="18"/>
  <c r="L212" i="18"/>
  <c r="I214" i="18"/>
  <c r="K214" i="18" s="1"/>
  <c r="I215" i="18"/>
  <c r="K215" i="18" s="1"/>
  <c r="J216" i="18"/>
  <c r="N217" i="18"/>
  <c r="P217" i="18"/>
  <c r="L218" i="18"/>
  <c r="L219" i="18"/>
  <c r="L220" i="18"/>
  <c r="I223" i="18"/>
  <c r="K223" i="18" s="1"/>
  <c r="I224" i="18"/>
  <c r="I216" i="18" s="1"/>
  <c r="K216" i="18" s="1"/>
  <c r="I225" i="18"/>
  <c r="K225" i="18" s="1"/>
  <c r="N228" i="18"/>
  <c r="N229" i="18"/>
  <c r="N230" i="18"/>
  <c r="N231" i="18"/>
  <c r="J233" i="18"/>
  <c r="I235" i="18"/>
  <c r="J235" i="18"/>
  <c r="K235" i="18"/>
  <c r="I236" i="18"/>
  <c r="K236" i="18" s="1"/>
  <c r="J236" i="18"/>
  <c r="J237" i="18"/>
  <c r="N238" i="18"/>
  <c r="P238" i="18"/>
  <c r="L239" i="18"/>
  <c r="L240" i="18"/>
  <c r="L241" i="18"/>
  <c r="L242" i="18"/>
  <c r="I244" i="18"/>
  <c r="K246" i="18"/>
  <c r="K247" i="18"/>
  <c r="J248" i="18"/>
  <c r="J226" i="18" s="1"/>
  <c r="J180" i="18" s="1"/>
  <c r="N249" i="18"/>
  <c r="P249" i="18"/>
  <c r="L250" i="18"/>
  <c r="L251" i="18"/>
  <c r="L252" i="18"/>
  <c r="L253" i="18"/>
  <c r="I255" i="18"/>
  <c r="K257" i="18"/>
  <c r="K258" i="18"/>
  <c r="J260" i="18"/>
  <c r="L262" i="18"/>
  <c r="M262" i="18"/>
  <c r="P262" i="18" s="1"/>
  <c r="N262" i="18"/>
  <c r="O265" i="18"/>
  <c r="P265" i="18"/>
  <c r="L266" i="18"/>
  <c r="M266" i="18"/>
  <c r="N266" i="18"/>
  <c r="N264" i="18" s="1"/>
  <c r="O268" i="18"/>
  <c r="P268" i="18"/>
  <c r="L269" i="18"/>
  <c r="L267" i="18" s="1"/>
  <c r="O267" i="18" s="1"/>
  <c r="M269" i="18"/>
  <c r="M267" i="18" s="1"/>
  <c r="P267" i="18" s="1"/>
  <c r="N269" i="18"/>
  <c r="N267" i="18" s="1"/>
  <c r="I271" i="18"/>
  <c r="J276" i="18"/>
  <c r="L278" i="18"/>
  <c r="O278" i="18" s="1"/>
  <c r="M278" i="18"/>
  <c r="N278" i="18"/>
  <c r="P278" i="18"/>
  <c r="O281" i="18"/>
  <c r="P281" i="18"/>
  <c r="L282" i="18"/>
  <c r="L280" i="18" s="1"/>
  <c r="M282" i="18"/>
  <c r="N282" i="18"/>
  <c r="N280" i="18" s="1"/>
  <c r="O284" i="18"/>
  <c r="P284" i="18"/>
  <c r="L285" i="18"/>
  <c r="L283" i="18" s="1"/>
  <c r="O283" i="18" s="1"/>
  <c r="M285" i="18"/>
  <c r="P285" i="18" s="1"/>
  <c r="N285" i="18"/>
  <c r="N283" i="18" s="1"/>
  <c r="I287" i="18"/>
  <c r="K287" i="18" s="1"/>
  <c r="I288" i="18"/>
  <c r="I275" i="18" s="1"/>
  <c r="I290" i="18"/>
  <c r="K290" i="18" s="1"/>
  <c r="I291" i="18"/>
  <c r="K291" i="18" s="1"/>
  <c r="I293" i="18"/>
  <c r="K293" i="18" s="1"/>
  <c r="I294" i="18"/>
  <c r="K294" i="18" s="1"/>
  <c r="J297" i="18"/>
  <c r="L299" i="18"/>
  <c r="M299" i="18"/>
  <c r="N299" i="18"/>
  <c r="O299" i="18"/>
  <c r="O302" i="18"/>
  <c r="P302" i="18"/>
  <c r="L303" i="18"/>
  <c r="M303" i="18"/>
  <c r="M301" i="18" s="1"/>
  <c r="N303" i="18"/>
  <c r="N301" i="18" s="1"/>
  <c r="O305" i="18"/>
  <c r="P305" i="18"/>
  <c r="L306" i="18"/>
  <c r="O306" i="18" s="1"/>
  <c r="M306" i="18"/>
  <c r="M304" i="18" s="1"/>
  <c r="P304" i="18" s="1"/>
  <c r="N306" i="18"/>
  <c r="N304" i="18" s="1"/>
  <c r="I309" i="18"/>
  <c r="I297" i="18" s="1"/>
  <c r="K297" i="18" s="1"/>
  <c r="I310" i="18"/>
  <c r="K310" i="18" s="1"/>
  <c r="I311" i="18"/>
  <c r="K311" i="18" s="1"/>
  <c r="I312" i="18"/>
  <c r="K312" i="18" s="1"/>
  <c r="J314" i="18"/>
  <c r="L316" i="18"/>
  <c r="M316" i="18"/>
  <c r="N316" i="18"/>
  <c r="O316" i="18"/>
  <c r="O319" i="18"/>
  <c r="P319" i="18"/>
  <c r="L320" i="18"/>
  <c r="L318" i="18" s="1"/>
  <c r="O318" i="18" s="1"/>
  <c r="M320" i="18"/>
  <c r="N320" i="18"/>
  <c r="N318" i="18" s="1"/>
  <c r="O322" i="18"/>
  <c r="P322" i="18"/>
  <c r="L323" i="18"/>
  <c r="L321" i="18" s="1"/>
  <c r="O321" i="18" s="1"/>
  <c r="M323" i="18"/>
  <c r="P323" i="18" s="1"/>
  <c r="N323" i="18"/>
  <c r="N321" i="18" s="1"/>
  <c r="I325" i="18"/>
  <c r="I314" i="18" s="1"/>
  <c r="K314" i="18" s="1"/>
  <c r="I327" i="18"/>
  <c r="L329" i="18"/>
  <c r="M329" i="18"/>
  <c r="P329" i="18" s="1"/>
  <c r="N329" i="18"/>
  <c r="O329" i="18"/>
  <c r="O332" i="18"/>
  <c r="P332" i="18"/>
  <c r="L333" i="18"/>
  <c r="M333" i="18"/>
  <c r="M331" i="18" s="1"/>
  <c r="N333" i="18"/>
  <c r="O335" i="18"/>
  <c r="P335" i="18"/>
  <c r="L336" i="18"/>
  <c r="M336" i="18"/>
  <c r="M334" i="18" s="1"/>
  <c r="P334" i="18" s="1"/>
  <c r="N336" i="18"/>
  <c r="N334" i="18" s="1"/>
  <c r="D337" i="18"/>
  <c r="I338" i="18"/>
  <c r="J338" i="18"/>
  <c r="I340" i="18"/>
  <c r="J340" i="18"/>
  <c r="J341" i="18"/>
  <c r="J342" i="18"/>
  <c r="J343" i="18"/>
  <c r="L346" i="18"/>
  <c r="O346" i="18" s="1"/>
  <c r="M346" i="18"/>
  <c r="P346" i="18" s="1"/>
  <c r="N346" i="18"/>
  <c r="O349" i="18"/>
  <c r="P349" i="18"/>
  <c r="L350" i="18"/>
  <c r="M350" i="18"/>
  <c r="N350" i="18"/>
  <c r="N348" i="18" s="1"/>
  <c r="O352" i="18"/>
  <c r="P352" i="18"/>
  <c r="L353" i="18"/>
  <c r="L351" i="18" s="1"/>
  <c r="M353" i="18"/>
  <c r="N353" i="18"/>
  <c r="N351" i="18" s="1"/>
  <c r="I355" i="18"/>
  <c r="J358" i="18"/>
  <c r="K358" i="18"/>
  <c r="I359" i="18"/>
  <c r="J359" i="18"/>
  <c r="I360" i="18"/>
  <c r="J360" i="18"/>
  <c r="J361" i="18"/>
  <c r="K361" i="18"/>
  <c r="I362" i="18"/>
  <c r="J362" i="18"/>
  <c r="J355" i="18" s="1"/>
  <c r="J363" i="18"/>
  <c r="K363" i="18"/>
  <c r="I365" i="18"/>
  <c r="J368" i="18"/>
  <c r="K368" i="18"/>
  <c r="I369" i="18"/>
  <c r="J369" i="18"/>
  <c r="I370" i="18"/>
  <c r="J370" i="18"/>
  <c r="J371" i="18"/>
  <c r="K371" i="18"/>
  <c r="I372" i="18"/>
  <c r="J372" i="18"/>
  <c r="J365" i="18" s="1"/>
  <c r="A373" i="18"/>
  <c r="J373" i="18"/>
  <c r="K373" i="18"/>
  <c r="I374" i="18"/>
  <c r="J377" i="18"/>
  <c r="K377" i="18"/>
  <c r="I378" i="18"/>
  <c r="J378" i="18"/>
  <c r="I379" i="18"/>
  <c r="J379" i="18"/>
  <c r="J380" i="18"/>
  <c r="K380" i="18"/>
  <c r="I381" i="18"/>
  <c r="J381" i="18"/>
  <c r="A382" i="18"/>
  <c r="J382" i="18"/>
  <c r="K382" i="18"/>
  <c r="D384" i="18"/>
  <c r="I385" i="18"/>
  <c r="J385" i="18"/>
  <c r="I388" i="18"/>
  <c r="K388" i="18" s="1"/>
  <c r="J388" i="18"/>
  <c r="L390" i="18"/>
  <c r="M390" i="18"/>
  <c r="N390" i="18"/>
  <c r="O390" i="18"/>
  <c r="O393" i="18"/>
  <c r="P393" i="18"/>
  <c r="L394" i="18"/>
  <c r="L392" i="18" s="1"/>
  <c r="O392" i="18" s="1"/>
  <c r="M394" i="18"/>
  <c r="M392" i="18" s="1"/>
  <c r="P392" i="18" s="1"/>
  <c r="N394" i="18"/>
  <c r="N392" i="18" s="1"/>
  <c r="O396" i="18"/>
  <c r="P396" i="18"/>
  <c r="L397" i="18"/>
  <c r="L395" i="18" s="1"/>
  <c r="O395" i="18" s="1"/>
  <c r="M397" i="18"/>
  <c r="M395" i="18" s="1"/>
  <c r="P395" i="18" s="1"/>
  <c r="N397" i="18"/>
  <c r="N395" i="18" s="1"/>
  <c r="K399" i="18"/>
  <c r="K400" i="18"/>
  <c r="I401" i="18"/>
  <c r="K401" i="18" s="1"/>
  <c r="J401" i="18"/>
  <c r="L403" i="18"/>
  <c r="M403" i="18"/>
  <c r="P403" i="18" s="1"/>
  <c r="N403" i="18"/>
  <c r="O403" i="18"/>
  <c r="O406" i="18"/>
  <c r="P406" i="18"/>
  <c r="L407" i="18"/>
  <c r="M407" i="18"/>
  <c r="M405" i="18" s="1"/>
  <c r="P405" i="18" s="1"/>
  <c r="N407" i="18"/>
  <c r="O409" i="18"/>
  <c r="P409" i="18"/>
  <c r="L410" i="18"/>
  <c r="M410" i="18"/>
  <c r="M408" i="18" s="1"/>
  <c r="P408" i="18" s="1"/>
  <c r="N410" i="18"/>
  <c r="N408" i="18" s="1"/>
  <c r="K412" i="18"/>
  <c r="K413" i="18"/>
  <c r="L420" i="18"/>
  <c r="O420" i="18" s="1"/>
  <c r="M420" i="18"/>
  <c r="N420" i="18"/>
  <c r="N421" i="18"/>
  <c r="N419" i="18" s="1"/>
  <c r="O423" i="18"/>
  <c r="P423" i="18"/>
  <c r="L424" i="18"/>
  <c r="M424" i="18" s="1"/>
  <c r="N424" i="18"/>
  <c r="M429" i="18"/>
  <c r="P429" i="18" s="1"/>
  <c r="N429" i="18"/>
  <c r="O430" i="18"/>
  <c r="P430" i="18"/>
  <c r="L431" i="18"/>
  <c r="O431" i="18" s="1"/>
  <c r="P431" i="18"/>
  <c r="J434" i="18"/>
  <c r="J418" i="18" s="1"/>
  <c r="I435" i="18"/>
  <c r="I433" i="18" s="1"/>
  <c r="I417" i="18" s="1"/>
  <c r="I437" i="18"/>
  <c r="K437" i="18" s="1"/>
  <c r="I438" i="18"/>
  <c r="I439" i="18"/>
  <c r="K439" i="18" s="1"/>
  <c r="I440" i="18"/>
  <c r="K440" i="18" s="1"/>
  <c r="I441" i="18"/>
  <c r="K441" i="18" s="1"/>
  <c r="J442" i="18"/>
  <c r="J443" i="18"/>
  <c r="L445" i="18"/>
  <c r="M445" i="18"/>
  <c r="N445" i="18"/>
  <c r="P445" i="18"/>
  <c r="O448" i="18"/>
  <c r="P448" i="18"/>
  <c r="L449" i="18"/>
  <c r="L447" i="18" s="1"/>
  <c r="N453" i="18"/>
  <c r="N449" i="18" s="1"/>
  <c r="M454" i="18"/>
  <c r="P454" i="18" s="1"/>
  <c r="N454" i="18"/>
  <c r="O455" i="18"/>
  <c r="P455" i="18"/>
  <c r="L456" i="18"/>
  <c r="P456" i="18"/>
  <c r="K458" i="18"/>
  <c r="I460" i="18"/>
  <c r="K460" i="18" s="1"/>
  <c r="I462" i="18"/>
  <c r="I463" i="18"/>
  <c r="I464" i="18"/>
  <c r="I465" i="18"/>
  <c r="K465" i="18" s="1"/>
  <c r="J465" i="18"/>
  <c r="I466" i="18"/>
  <c r="J466" i="18"/>
  <c r="L468" i="18"/>
  <c r="O468" i="18" s="1"/>
  <c r="M468" i="18"/>
  <c r="N468" i="18"/>
  <c r="O471" i="18"/>
  <c r="P471" i="18"/>
  <c r="L472" i="18"/>
  <c r="N472" i="18"/>
  <c r="N470" i="18" s="1"/>
  <c r="N476" i="18"/>
  <c r="M477" i="18"/>
  <c r="P477" i="18" s="1"/>
  <c r="N477" i="18"/>
  <c r="O478" i="18"/>
  <c r="P478" i="18"/>
  <c r="L479" i="18"/>
  <c r="L477" i="18" s="1"/>
  <c r="O477" i="18" s="1"/>
  <c r="P479" i="18"/>
  <c r="I483" i="18"/>
  <c r="K483" i="18" s="1"/>
  <c r="I485" i="18"/>
  <c r="K485" i="18" s="1"/>
  <c r="I487" i="18"/>
  <c r="K487" i="18" s="1"/>
  <c r="I489" i="18"/>
  <c r="K489" i="18" s="1"/>
  <c r="I492" i="18"/>
  <c r="K492" i="18" s="1"/>
  <c r="I495" i="18"/>
  <c r="K495" i="18" s="1"/>
  <c r="I498" i="18"/>
  <c r="K498" i="18" s="1"/>
  <c r="J500" i="18"/>
  <c r="K500" i="18"/>
  <c r="K501" i="18"/>
  <c r="L503" i="18"/>
  <c r="L502" i="18" s="1"/>
  <c r="O502" i="18" s="1"/>
  <c r="M503" i="18"/>
  <c r="N503" i="18"/>
  <c r="L504" i="18"/>
  <c r="O504" i="18" s="1"/>
  <c r="M504" i="18"/>
  <c r="P504" i="18"/>
  <c r="L505" i="18"/>
  <c r="O505" i="18" s="1"/>
  <c r="M505" i="18"/>
  <c r="P505" i="18" s="1"/>
  <c r="O506" i="18"/>
  <c r="P506" i="18"/>
  <c r="N507" i="18"/>
  <c r="N505" i="18" s="1"/>
  <c r="O507" i="18"/>
  <c r="P507" i="18"/>
  <c r="L512" i="18"/>
  <c r="M512" i="18"/>
  <c r="P512" i="18" s="1"/>
  <c r="N512" i="18"/>
  <c r="O512" i="18"/>
  <c r="O513" i="18"/>
  <c r="P513" i="18"/>
  <c r="O514" i="18"/>
  <c r="P514" i="18"/>
  <c r="K516" i="18"/>
  <c r="J517" i="18"/>
  <c r="J501" i="18" s="1"/>
  <c r="K517" i="18"/>
  <c r="L524" i="18"/>
  <c r="M524" i="18"/>
  <c r="N524" i="18"/>
  <c r="O524" i="18"/>
  <c r="M525" i="18"/>
  <c r="P525" i="18" s="1"/>
  <c r="M526" i="18"/>
  <c r="P526" i="18" s="1"/>
  <c r="O527" i="18"/>
  <c r="P527" i="18"/>
  <c r="L528" i="18"/>
  <c r="O528" i="18" s="1"/>
  <c r="N528" i="18"/>
  <c r="N526" i="18" s="1"/>
  <c r="P528" i="18"/>
  <c r="M533" i="18"/>
  <c r="P533" i="18" s="1"/>
  <c r="N533" i="18"/>
  <c r="O534" i="18"/>
  <c r="P534" i="18"/>
  <c r="L535" i="18"/>
  <c r="O535" i="18" s="1"/>
  <c r="P535" i="18"/>
  <c r="I537" i="18"/>
  <c r="I522" i="18" s="1"/>
  <c r="K522" i="18" s="1"/>
  <c r="I538" i="18"/>
  <c r="K538" i="18" s="1"/>
  <c r="I539" i="18"/>
  <c r="K539" i="18" s="1"/>
  <c r="I540" i="18"/>
  <c r="K540" i="18" s="1"/>
  <c r="I541" i="18"/>
  <c r="K541" i="18" s="1"/>
  <c r="I542" i="18"/>
  <c r="K542" i="18" s="1"/>
  <c r="L545" i="18"/>
  <c r="O545" i="18" s="1"/>
  <c r="O548" i="18"/>
  <c r="P548" i="18"/>
  <c r="L549" i="18"/>
  <c r="N549" i="18"/>
  <c r="N547" i="18" s="1"/>
  <c r="M555" i="18"/>
  <c r="M545" i="18" s="1"/>
  <c r="N555" i="18"/>
  <c r="N545" i="18" s="1"/>
  <c r="O556" i="18"/>
  <c r="P556" i="18"/>
  <c r="L557" i="18"/>
  <c r="O557" i="18" s="1"/>
  <c r="P557" i="18"/>
  <c r="I560" i="18"/>
  <c r="K560" i="18" s="1"/>
  <c r="J560" i="18"/>
  <c r="I561" i="18"/>
  <c r="K561" i="18" s="1"/>
  <c r="J561" i="18"/>
  <c r="I568" i="18"/>
  <c r="J568" i="18"/>
  <c r="I569" i="18"/>
  <c r="K569" i="18" s="1"/>
  <c r="J569" i="18"/>
  <c r="I576" i="18"/>
  <c r="I577" i="18"/>
  <c r="J582" i="18"/>
  <c r="J576" i="18" s="1"/>
  <c r="J559" i="18" s="1"/>
  <c r="J543" i="18" s="1"/>
  <c r="J583" i="18"/>
  <c r="J577" i="18" s="1"/>
  <c r="I593" i="18"/>
  <c r="I594" i="18"/>
  <c r="J595" i="18"/>
  <c r="J596" i="18"/>
  <c r="J603" i="18"/>
  <c r="J604" i="18"/>
  <c r="J611" i="18"/>
  <c r="K611" i="18"/>
  <c r="J612" i="18"/>
  <c r="K612" i="18"/>
  <c r="J613" i="18"/>
  <c r="K613" i="18"/>
  <c r="I620" i="18"/>
  <c r="K620" i="18" s="1"/>
  <c r="J620" i="18"/>
  <c r="I621" i="18"/>
  <c r="J621" i="18"/>
  <c r="L630" i="18"/>
  <c r="M630" i="18"/>
  <c r="N630" i="18"/>
  <c r="O633" i="18"/>
  <c r="P633" i="18"/>
  <c r="L634" i="18"/>
  <c r="L632" i="18" s="1"/>
  <c r="N634" i="18"/>
  <c r="N631" i="18" s="1"/>
  <c r="N629" i="18" s="1"/>
  <c r="N638" i="18"/>
  <c r="M639" i="18"/>
  <c r="P639" i="18" s="1"/>
  <c r="N639" i="18"/>
  <c r="O640" i="18"/>
  <c r="P640" i="18"/>
  <c r="L641" i="18"/>
  <c r="O641" i="18" s="1"/>
  <c r="P641" i="18"/>
  <c r="I643" i="18"/>
  <c r="K643" i="18" s="1"/>
  <c r="I644" i="18"/>
  <c r="K644" i="18" s="1"/>
  <c r="J645" i="18"/>
  <c r="K645" i="18"/>
  <c r="J646" i="18"/>
  <c r="K646" i="18"/>
  <c r="I647" i="18"/>
  <c r="J647" i="18"/>
  <c r="J648" i="18"/>
  <c r="K648" i="18"/>
  <c r="I649" i="18"/>
  <c r="J649" i="18"/>
  <c r="J650" i="18"/>
  <c r="K650" i="18"/>
  <c r="I651" i="18"/>
  <c r="I628" i="18" s="1"/>
  <c r="J651" i="18"/>
  <c r="J628" i="18" s="1"/>
  <c r="A652" i="18"/>
  <c r="J652" i="18"/>
  <c r="K652" i="18"/>
  <c r="L656" i="18"/>
  <c r="O656" i="18" s="1"/>
  <c r="M656" i="18"/>
  <c r="N656" i="18"/>
  <c r="O659" i="18"/>
  <c r="P659" i="18"/>
  <c r="L660" i="18"/>
  <c r="L657" i="18" s="1"/>
  <c r="N660" i="18"/>
  <c r="L665" i="18"/>
  <c r="M665" i="18"/>
  <c r="P665" i="18" s="1"/>
  <c r="N665" i="18"/>
  <c r="O665" i="18"/>
  <c r="O666" i="18"/>
  <c r="P666" i="18"/>
  <c r="O667" i="18"/>
  <c r="P667" i="18"/>
  <c r="I669" i="18"/>
  <c r="K672" i="18" s="1"/>
  <c r="I670" i="18"/>
  <c r="K670" i="18" s="1"/>
  <c r="I671" i="18"/>
  <c r="K671" i="18" s="1"/>
  <c r="J675" i="18"/>
  <c r="J669" i="18" s="1"/>
  <c r="J654" i="18" s="1"/>
  <c r="I678" i="18"/>
  <c r="K678" i="18" s="1"/>
  <c r="J679" i="18"/>
  <c r="J678" i="18" s="1"/>
  <c r="L686" i="18"/>
  <c r="M686" i="18"/>
  <c r="P686" i="18" s="1"/>
  <c r="N686" i="18"/>
  <c r="O686" i="18"/>
  <c r="L690" i="18"/>
  <c r="L688" i="18" s="1"/>
  <c r="N690" i="18"/>
  <c r="N687" i="18" s="1"/>
  <c r="N685" i="18" s="1"/>
  <c r="L695" i="18"/>
  <c r="O695" i="18" s="1"/>
  <c r="M695" i="18"/>
  <c r="P695" i="18" s="1"/>
  <c r="N695" i="18"/>
  <c r="O696" i="18"/>
  <c r="P696" i="18"/>
  <c r="O697" i="18"/>
  <c r="P697" i="18"/>
  <c r="I699" i="18"/>
  <c r="J699" i="18"/>
  <c r="I700" i="18"/>
  <c r="J700" i="18"/>
  <c r="I701" i="18"/>
  <c r="J701" i="18"/>
  <c r="I704" i="18"/>
  <c r="I707" i="18"/>
  <c r="I708" i="18"/>
  <c r="J708" i="18"/>
  <c r="J718" i="18"/>
  <c r="J719" i="18"/>
  <c r="I720" i="18"/>
  <c r="J720" i="18"/>
  <c r="I721" i="18"/>
  <c r="I722" i="18"/>
  <c r="I723" i="18"/>
  <c r="J723" i="18"/>
  <c r="J724" i="18"/>
  <c r="I725" i="18"/>
  <c r="J725" i="18"/>
  <c r="I726" i="18"/>
  <c r="K726" i="18" s="1"/>
  <c r="J726" i="18"/>
  <c r="J727" i="18"/>
  <c r="I728" i="18"/>
  <c r="K728" i="18" s="1"/>
  <c r="J728" i="18"/>
  <c r="I729" i="18"/>
  <c r="J729" i="18"/>
  <c r="J736" i="18"/>
  <c r="K736" i="18"/>
  <c r="L738" i="18"/>
  <c r="L737" i="18" s="1"/>
  <c r="O737" i="18" s="1"/>
  <c r="M738" i="18"/>
  <c r="P738" i="18" s="1"/>
  <c r="N738" i="18"/>
  <c r="O738" i="18"/>
  <c r="L739" i="18"/>
  <c r="O739" i="18" s="1"/>
  <c r="M739" i="18"/>
  <c r="P739" i="18" s="1"/>
  <c r="L740" i="18"/>
  <c r="O740" i="18" s="1"/>
  <c r="M740" i="18"/>
  <c r="P740" i="18" s="1"/>
  <c r="O741" i="18"/>
  <c r="P741" i="18"/>
  <c r="N742" i="18"/>
  <c r="N739" i="18" s="1"/>
  <c r="N737" i="18" s="1"/>
  <c r="O742" i="18"/>
  <c r="P742" i="18"/>
  <c r="L747" i="18"/>
  <c r="M747" i="18"/>
  <c r="P747" i="18" s="1"/>
  <c r="N747" i="18"/>
  <c r="O747" i="18"/>
  <c r="O748" i="18"/>
  <c r="P748" i="18"/>
  <c r="O749" i="18"/>
  <c r="P749" i="18"/>
  <c r="J753" i="18"/>
  <c r="K753" i="18"/>
  <c r="L755" i="18"/>
  <c r="M755" i="18"/>
  <c r="M754" i="18" s="1"/>
  <c r="P754" i="18" s="1"/>
  <c r="N755" i="18"/>
  <c r="P755" i="18"/>
  <c r="L756" i="18"/>
  <c r="O756" i="18" s="1"/>
  <c r="M756" i="18"/>
  <c r="P756" i="18"/>
  <c r="L757" i="18"/>
  <c r="O757" i="18" s="1"/>
  <c r="M757" i="18"/>
  <c r="P757" i="18" s="1"/>
  <c r="O758" i="18"/>
  <c r="P758" i="18"/>
  <c r="N759" i="18"/>
  <c r="N756" i="18" s="1"/>
  <c r="N754" i="18" s="1"/>
  <c r="O759" i="18"/>
  <c r="P759" i="18"/>
  <c r="L764" i="18"/>
  <c r="M764" i="18"/>
  <c r="P764" i="18" s="1"/>
  <c r="N764" i="18"/>
  <c r="O764" i="18"/>
  <c r="O765" i="18"/>
  <c r="P765" i="18"/>
  <c r="O766" i="18"/>
  <c r="P766" i="18"/>
  <c r="J769" i="18"/>
  <c r="K769" i="18"/>
  <c r="L771" i="18"/>
  <c r="M771" i="18"/>
  <c r="M770" i="18" s="1"/>
  <c r="P770" i="18" s="1"/>
  <c r="N771" i="18"/>
  <c r="O771" i="18"/>
  <c r="P771" i="18"/>
  <c r="L772" i="18"/>
  <c r="O772" i="18" s="1"/>
  <c r="M772" i="18"/>
  <c r="P772" i="18"/>
  <c r="L773" i="18"/>
  <c r="O773" i="18" s="1"/>
  <c r="M773" i="18"/>
  <c r="P773" i="18" s="1"/>
  <c r="N773" i="18"/>
  <c r="O774" i="18"/>
  <c r="P774" i="18"/>
  <c r="N775" i="18"/>
  <c r="N772" i="18" s="1"/>
  <c r="O775" i="18"/>
  <c r="P775" i="18"/>
  <c r="L780" i="18"/>
  <c r="O780" i="18" s="1"/>
  <c r="M780" i="18"/>
  <c r="P780" i="18" s="1"/>
  <c r="N780" i="18"/>
  <c r="O781" i="18"/>
  <c r="P781" i="18"/>
  <c r="O782" i="18"/>
  <c r="P782" i="18"/>
  <c r="L787" i="18"/>
  <c r="O787" i="18" s="1"/>
  <c r="M787" i="18"/>
  <c r="P787" i="18" s="1"/>
  <c r="N787" i="18"/>
  <c r="M788" i="18"/>
  <c r="M786" i="18" s="1"/>
  <c r="P786" i="18" s="1"/>
  <c r="P788" i="18"/>
  <c r="M789" i="18"/>
  <c r="P789" i="18"/>
  <c r="O790" i="18"/>
  <c r="P790" i="18"/>
  <c r="L791" i="18"/>
  <c r="L789" i="18" s="1"/>
  <c r="O789" i="18" s="1"/>
  <c r="N791" i="18"/>
  <c r="N789" i="18" s="1"/>
  <c r="P791" i="18"/>
  <c r="L796" i="18"/>
  <c r="O796" i="18" s="1"/>
  <c r="M796" i="18"/>
  <c r="P796" i="18" s="1"/>
  <c r="N796" i="18"/>
  <c r="O797" i="18"/>
  <c r="P797" i="18"/>
  <c r="O798" i="18"/>
  <c r="P798" i="18"/>
  <c r="I800" i="18"/>
  <c r="I785" i="18" s="1"/>
  <c r="K785" i="18" s="1"/>
  <c r="J800" i="18"/>
  <c r="J785" i="18" s="1"/>
  <c r="J801" i="18"/>
  <c r="K802" i="18"/>
  <c r="J804" i="18"/>
  <c r="K804" i="18"/>
  <c r="L806" i="18"/>
  <c r="L805" i="18" s="1"/>
  <c r="O805" i="18" s="1"/>
  <c r="M806" i="18"/>
  <c r="M805" i="18" s="1"/>
  <c r="P805" i="18" s="1"/>
  <c r="N806" i="18"/>
  <c r="O806" i="18"/>
  <c r="L807" i="18"/>
  <c r="M807" i="18"/>
  <c r="P807" i="18" s="1"/>
  <c r="O807" i="18"/>
  <c r="L808" i="18"/>
  <c r="O808" i="18" s="1"/>
  <c r="M808" i="18"/>
  <c r="P808" i="18"/>
  <c r="O809" i="18"/>
  <c r="P809" i="18"/>
  <c r="N810" i="18"/>
  <c r="N808" i="18" s="1"/>
  <c r="O810" i="18"/>
  <c r="P810" i="18"/>
  <c r="L815" i="18"/>
  <c r="O815" i="18" s="1"/>
  <c r="M815" i="18"/>
  <c r="P815" i="18" s="1"/>
  <c r="N815" i="18"/>
  <c r="O816" i="18"/>
  <c r="P816" i="18"/>
  <c r="O817" i="18"/>
  <c r="P817" i="18"/>
  <c r="H820" i="18"/>
  <c r="I821" i="18"/>
  <c r="J821" i="18"/>
  <c r="I822" i="18"/>
  <c r="J822" i="18"/>
  <c r="I823" i="18"/>
  <c r="J823" i="18"/>
  <c r="I824" i="18"/>
  <c r="J824" i="18"/>
  <c r="I825" i="18"/>
  <c r="J825" i="18"/>
  <c r="I826" i="18"/>
  <c r="J826" i="18"/>
  <c r="I827" i="18"/>
  <c r="J827" i="18"/>
  <c r="I828" i="18"/>
  <c r="J828" i="18"/>
  <c r="L22" i="16"/>
  <c r="M22" i="16"/>
  <c r="M12" i="16" s="1"/>
  <c r="N22" i="16"/>
  <c r="L25" i="16"/>
  <c r="L15" i="16" s="1"/>
  <c r="M25" i="16"/>
  <c r="N25" i="16"/>
  <c r="O25" i="16"/>
  <c r="P25" i="16"/>
  <c r="L32" i="16"/>
  <c r="M32" i="16"/>
  <c r="N32" i="16"/>
  <c r="O32" i="16"/>
  <c r="P32" i="16"/>
  <c r="L35" i="16"/>
  <c r="L29" i="16" s="1"/>
  <c r="M35" i="16"/>
  <c r="M15" i="16" s="1"/>
  <c r="N35" i="16"/>
  <c r="M36" i="16"/>
  <c r="N36" i="16"/>
  <c r="L42" i="16"/>
  <c r="M42" i="16"/>
  <c r="P42" i="16" s="1"/>
  <c r="N42" i="16"/>
  <c r="O45" i="16"/>
  <c r="P45" i="16"/>
  <c r="L46" i="16"/>
  <c r="M46" i="16"/>
  <c r="M44" i="16" s="1"/>
  <c r="N46" i="16"/>
  <c r="O48" i="16"/>
  <c r="P48" i="16"/>
  <c r="L49" i="16"/>
  <c r="O49" i="16" s="1"/>
  <c r="M49" i="16"/>
  <c r="M47" i="16" s="1"/>
  <c r="P47" i="16" s="1"/>
  <c r="N49" i="16"/>
  <c r="N47" i="16" s="1"/>
  <c r="L54" i="16"/>
  <c r="M54" i="16"/>
  <c r="N54" i="16"/>
  <c r="O54" i="16"/>
  <c r="O57" i="16"/>
  <c r="P57" i="16"/>
  <c r="L58" i="16"/>
  <c r="M58" i="16"/>
  <c r="M56" i="16" s="1"/>
  <c r="N58" i="16"/>
  <c r="O60" i="16"/>
  <c r="P60" i="16"/>
  <c r="L61" i="16"/>
  <c r="L59" i="16" s="1"/>
  <c r="M61" i="16"/>
  <c r="M59" i="16" s="1"/>
  <c r="N61" i="16"/>
  <c r="L67" i="16"/>
  <c r="M67" i="16"/>
  <c r="N67" i="16"/>
  <c r="P67" i="16"/>
  <c r="O70" i="16"/>
  <c r="P70" i="16"/>
  <c r="L71" i="16"/>
  <c r="L69" i="16" s="1"/>
  <c r="O69" i="16" s="1"/>
  <c r="M71" i="16"/>
  <c r="M69" i="16" s="1"/>
  <c r="P69" i="16" s="1"/>
  <c r="N71" i="16"/>
  <c r="N69" i="16" s="1"/>
  <c r="O73" i="16"/>
  <c r="P73" i="16"/>
  <c r="L74" i="16"/>
  <c r="L72" i="16" s="1"/>
  <c r="O72" i="16" s="1"/>
  <c r="M74" i="16"/>
  <c r="M72" i="16" s="1"/>
  <c r="P72" i="16" s="1"/>
  <c r="N74" i="16"/>
  <c r="N72" i="16" s="1"/>
  <c r="J76" i="16"/>
  <c r="J64" i="16" s="1"/>
  <c r="J77" i="16"/>
  <c r="J65" i="16" s="1"/>
  <c r="I78" i="16"/>
  <c r="K78" i="16" s="1"/>
  <c r="I79" i="16"/>
  <c r="I80" i="16"/>
  <c r="K80" i="16" s="1"/>
  <c r="I81" i="16"/>
  <c r="K81" i="16" s="1"/>
  <c r="I82" i="16"/>
  <c r="K82" i="16" s="1"/>
  <c r="I83" i="16"/>
  <c r="K83" i="16" s="1"/>
  <c r="I84" i="16"/>
  <c r="K84" i="16" s="1"/>
  <c r="L89" i="16"/>
  <c r="O89" i="16" s="1"/>
  <c r="M89" i="16"/>
  <c r="N89" i="16"/>
  <c r="O92" i="16"/>
  <c r="P92" i="16"/>
  <c r="L93" i="16"/>
  <c r="M93" i="16"/>
  <c r="M91" i="16" s="1"/>
  <c r="N93" i="16"/>
  <c r="N91" i="16" s="1"/>
  <c r="O95" i="16"/>
  <c r="P95" i="16"/>
  <c r="L96" i="16"/>
  <c r="M96" i="16"/>
  <c r="P96" i="16" s="1"/>
  <c r="N96" i="16"/>
  <c r="N94" i="16" s="1"/>
  <c r="I98" i="16"/>
  <c r="I86" i="16" s="1"/>
  <c r="J98" i="16"/>
  <c r="I99" i="16"/>
  <c r="K99" i="16" s="1"/>
  <c r="J99" i="16"/>
  <c r="J87" i="16" s="1"/>
  <c r="I100" i="16"/>
  <c r="J100" i="16"/>
  <c r="I102" i="16"/>
  <c r="K102" i="16" s="1"/>
  <c r="I103" i="16"/>
  <c r="K103" i="16" s="1"/>
  <c r="I104" i="16"/>
  <c r="K104" i="16" s="1"/>
  <c r="I106" i="16"/>
  <c r="K106" i="16" s="1"/>
  <c r="I107" i="16"/>
  <c r="K107" i="16" s="1"/>
  <c r="I109" i="16"/>
  <c r="K109" i="16" s="1"/>
  <c r="I110" i="16"/>
  <c r="K110" i="16" s="1"/>
  <c r="I111" i="16"/>
  <c r="J111" i="16"/>
  <c r="J112" i="16"/>
  <c r="I113" i="16"/>
  <c r="K113" i="16" s="1"/>
  <c r="I114" i="16"/>
  <c r="K114" i="16" s="1"/>
  <c r="I115" i="16"/>
  <c r="I116" i="16"/>
  <c r="K116" i="16" s="1"/>
  <c r="L120" i="16"/>
  <c r="M120" i="16"/>
  <c r="N120" i="16"/>
  <c r="O120" i="16"/>
  <c r="O123" i="16"/>
  <c r="P123" i="16"/>
  <c r="L124" i="16"/>
  <c r="L122" i="16" s="1"/>
  <c r="O122" i="16" s="1"/>
  <c r="M124" i="16"/>
  <c r="M122" i="16" s="1"/>
  <c r="P122" i="16" s="1"/>
  <c r="N124" i="16"/>
  <c r="O126" i="16"/>
  <c r="P126" i="16"/>
  <c r="L127" i="16"/>
  <c r="L125" i="16" s="1"/>
  <c r="O125" i="16" s="1"/>
  <c r="M127" i="16"/>
  <c r="M125" i="16" s="1"/>
  <c r="P125" i="16" s="1"/>
  <c r="N127" i="16"/>
  <c r="N125" i="16" s="1"/>
  <c r="J130" i="16"/>
  <c r="L133" i="16"/>
  <c r="M133" i="16"/>
  <c r="N133" i="16"/>
  <c r="P133" i="16"/>
  <c r="O136" i="16"/>
  <c r="P136" i="16"/>
  <c r="L137" i="16"/>
  <c r="M137" i="16"/>
  <c r="N137" i="16"/>
  <c r="N135" i="16" s="1"/>
  <c r="O139" i="16"/>
  <c r="P139" i="16"/>
  <c r="L140" i="16"/>
  <c r="O140" i="16" s="1"/>
  <c r="M140" i="16"/>
  <c r="N140" i="16"/>
  <c r="N138" i="16" s="1"/>
  <c r="I144" i="16"/>
  <c r="I145" i="16"/>
  <c r="K145" i="16" s="1"/>
  <c r="I146" i="16"/>
  <c r="I130" i="16" s="1"/>
  <c r="K130" i="16" s="1"/>
  <c r="J148" i="16"/>
  <c r="L150" i="16"/>
  <c r="M150" i="16"/>
  <c r="N150" i="16"/>
  <c r="O150" i="16"/>
  <c r="O153" i="16"/>
  <c r="P153" i="16"/>
  <c r="L154" i="16"/>
  <c r="M154" i="16"/>
  <c r="M152" i="16" s="1"/>
  <c r="N154" i="16"/>
  <c r="O156" i="16"/>
  <c r="P156" i="16"/>
  <c r="L157" i="16"/>
  <c r="O157" i="16" s="1"/>
  <c r="M157" i="16"/>
  <c r="M155" i="16" s="1"/>
  <c r="P155" i="16" s="1"/>
  <c r="N157" i="16"/>
  <c r="N155" i="16" s="1"/>
  <c r="I159" i="16"/>
  <c r="L166" i="16"/>
  <c r="O166" i="16" s="1"/>
  <c r="M166" i="16"/>
  <c r="P166" i="16" s="1"/>
  <c r="N166" i="16"/>
  <c r="O169" i="16"/>
  <c r="P169" i="16"/>
  <c r="L170" i="16"/>
  <c r="M170" i="16"/>
  <c r="M168" i="16" s="1"/>
  <c r="N170" i="16"/>
  <c r="N168" i="16" s="1"/>
  <c r="O172" i="16"/>
  <c r="P172" i="16"/>
  <c r="L173" i="16"/>
  <c r="L171" i="16" s="1"/>
  <c r="O171" i="16" s="1"/>
  <c r="M173" i="16"/>
  <c r="P173" i="16" s="1"/>
  <c r="N173" i="16"/>
  <c r="N171" i="16" s="1"/>
  <c r="J174" i="16"/>
  <c r="J164" i="16" s="1"/>
  <c r="I176" i="16"/>
  <c r="I174" i="16" s="1"/>
  <c r="J177" i="16"/>
  <c r="L182" i="16"/>
  <c r="O182" i="16" s="1"/>
  <c r="M182" i="16"/>
  <c r="P182" i="16" s="1"/>
  <c r="N182" i="16"/>
  <c r="O185" i="16"/>
  <c r="P185" i="16"/>
  <c r="L186" i="16"/>
  <c r="L184" i="16" s="1"/>
  <c r="M186" i="16"/>
  <c r="M184" i="16" s="1"/>
  <c r="N186" i="16"/>
  <c r="N184" i="16" s="1"/>
  <c r="O188" i="16"/>
  <c r="P188" i="16"/>
  <c r="L189" i="16"/>
  <c r="M189" i="16"/>
  <c r="P189" i="16" s="1"/>
  <c r="N189" i="16"/>
  <c r="N187" i="16" s="1"/>
  <c r="J190" i="16"/>
  <c r="L191" i="16"/>
  <c r="O191" i="16" s="1"/>
  <c r="P191" i="16"/>
  <c r="I193" i="16"/>
  <c r="I190" i="16" s="1"/>
  <c r="J194" i="16"/>
  <c r="J197" i="16"/>
  <c r="N198" i="16"/>
  <c r="P198" i="16"/>
  <c r="L199" i="16"/>
  <c r="L200" i="16"/>
  <c r="L201" i="16"/>
  <c r="L202" i="16"/>
  <c r="I204" i="16"/>
  <c r="K206" i="16"/>
  <c r="K207" i="16"/>
  <c r="J208" i="16"/>
  <c r="N209" i="16"/>
  <c r="P209" i="16"/>
  <c r="L210" i="16"/>
  <c r="L211" i="16"/>
  <c r="L212" i="16"/>
  <c r="I214" i="16"/>
  <c r="K214" i="16" s="1"/>
  <c r="I215" i="16"/>
  <c r="I208" i="16" s="1"/>
  <c r="K208" i="16" s="1"/>
  <c r="J216" i="16"/>
  <c r="N217" i="16"/>
  <c r="P217" i="16"/>
  <c r="L218" i="16"/>
  <c r="L219" i="16"/>
  <c r="L220" i="16"/>
  <c r="I223" i="16"/>
  <c r="K223" i="16" s="1"/>
  <c r="I224" i="16"/>
  <c r="I225" i="16"/>
  <c r="N228" i="16"/>
  <c r="N229" i="16"/>
  <c r="N230" i="16"/>
  <c r="N231" i="16"/>
  <c r="J233" i="16"/>
  <c r="I235" i="16"/>
  <c r="K235" i="16" s="1"/>
  <c r="J235" i="16"/>
  <c r="I236" i="16"/>
  <c r="K236" i="16" s="1"/>
  <c r="J236" i="16"/>
  <c r="J237" i="16"/>
  <c r="N238" i="16"/>
  <c r="P238" i="16"/>
  <c r="L239" i="16"/>
  <c r="L240" i="16"/>
  <c r="L241" i="16"/>
  <c r="L242" i="16"/>
  <c r="I244" i="16"/>
  <c r="I237" i="16" s="1"/>
  <c r="K246" i="16"/>
  <c r="K247" i="16"/>
  <c r="J248" i="16"/>
  <c r="J226" i="16" s="1"/>
  <c r="J180" i="16" s="1"/>
  <c r="N249" i="16"/>
  <c r="P249" i="16"/>
  <c r="L250" i="16"/>
  <c r="L251" i="16"/>
  <c r="L252" i="16"/>
  <c r="L253" i="16"/>
  <c r="I255" i="16"/>
  <c r="I248" i="16" s="1"/>
  <c r="K248" i="16" s="1"/>
  <c r="K257" i="16"/>
  <c r="K258" i="16"/>
  <c r="J260" i="16"/>
  <c r="L262" i="16"/>
  <c r="M262" i="16"/>
  <c r="P262" i="16" s="1"/>
  <c r="N262" i="16"/>
  <c r="O262" i="16"/>
  <c r="O265" i="16"/>
  <c r="P265" i="16"/>
  <c r="L266" i="16"/>
  <c r="L264" i="16" s="1"/>
  <c r="M266" i="16"/>
  <c r="M264" i="16" s="1"/>
  <c r="N266" i="16"/>
  <c r="O268" i="16"/>
  <c r="P268" i="16"/>
  <c r="L269" i="16"/>
  <c r="O269" i="16" s="1"/>
  <c r="M269" i="16"/>
  <c r="M267" i="16" s="1"/>
  <c r="P267" i="16" s="1"/>
  <c r="N269" i="16"/>
  <c r="N267" i="16" s="1"/>
  <c r="I271" i="16"/>
  <c r="K271" i="16" s="1"/>
  <c r="J276" i="16"/>
  <c r="L278" i="16"/>
  <c r="M278" i="16"/>
  <c r="N278" i="16"/>
  <c r="O278" i="16"/>
  <c r="P278" i="16"/>
  <c r="O281" i="16"/>
  <c r="P281" i="16"/>
  <c r="L282" i="16"/>
  <c r="L280" i="16" s="1"/>
  <c r="M282" i="16"/>
  <c r="N282" i="16"/>
  <c r="N280" i="16" s="1"/>
  <c r="O284" i="16"/>
  <c r="P284" i="16"/>
  <c r="L285" i="16"/>
  <c r="O285" i="16" s="1"/>
  <c r="M285" i="16"/>
  <c r="M283" i="16" s="1"/>
  <c r="P283" i="16" s="1"/>
  <c r="N285" i="16"/>
  <c r="N283" i="16" s="1"/>
  <c r="I287" i="16"/>
  <c r="I276" i="16" s="1"/>
  <c r="I288" i="16"/>
  <c r="I275" i="16" s="1"/>
  <c r="I290" i="16"/>
  <c r="K290" i="16" s="1"/>
  <c r="I291" i="16"/>
  <c r="K291" i="16" s="1"/>
  <c r="I293" i="16"/>
  <c r="K293" i="16" s="1"/>
  <c r="I294" i="16"/>
  <c r="K294" i="16" s="1"/>
  <c r="J297" i="16"/>
  <c r="L299" i="16"/>
  <c r="M299" i="16"/>
  <c r="N299" i="16"/>
  <c r="P299" i="16"/>
  <c r="O302" i="16"/>
  <c r="P302" i="16"/>
  <c r="L303" i="16"/>
  <c r="L301" i="16" s="1"/>
  <c r="M303" i="16"/>
  <c r="N303" i="16"/>
  <c r="N301" i="16" s="1"/>
  <c r="O305" i="16"/>
  <c r="P305" i="16"/>
  <c r="L306" i="16"/>
  <c r="O306" i="16" s="1"/>
  <c r="M306" i="16"/>
  <c r="M304" i="16" s="1"/>
  <c r="P304" i="16" s="1"/>
  <c r="N306" i="16"/>
  <c r="N304" i="16" s="1"/>
  <c r="I309" i="16"/>
  <c r="K309" i="16" s="1"/>
  <c r="I310" i="16"/>
  <c r="K310" i="16" s="1"/>
  <c r="I311" i="16"/>
  <c r="K311" i="16" s="1"/>
  <c r="I312" i="16"/>
  <c r="K312" i="16" s="1"/>
  <c r="J314" i="16"/>
  <c r="L316" i="16"/>
  <c r="O316" i="16" s="1"/>
  <c r="M316" i="16"/>
  <c r="N316" i="16"/>
  <c r="P316" i="16"/>
  <c r="O319" i="16"/>
  <c r="P319" i="16"/>
  <c r="L320" i="16"/>
  <c r="M320" i="16"/>
  <c r="N320" i="16"/>
  <c r="N318" i="16" s="1"/>
  <c r="O322" i="16"/>
  <c r="P322" i="16"/>
  <c r="L323" i="16"/>
  <c r="L321" i="16" s="1"/>
  <c r="O321" i="16" s="1"/>
  <c r="M323" i="16"/>
  <c r="N323" i="16"/>
  <c r="N321" i="16" s="1"/>
  <c r="I325" i="16"/>
  <c r="K325" i="16" s="1"/>
  <c r="I327" i="16"/>
  <c r="L329" i="16"/>
  <c r="M329" i="16"/>
  <c r="N329" i="16"/>
  <c r="P329" i="16"/>
  <c r="O332" i="16"/>
  <c r="P332" i="16"/>
  <c r="L333" i="16"/>
  <c r="L331" i="16" s="1"/>
  <c r="M333" i="16"/>
  <c r="M331" i="16" s="1"/>
  <c r="N333" i="16"/>
  <c r="N331" i="16" s="1"/>
  <c r="O335" i="16"/>
  <c r="P335" i="16"/>
  <c r="L336" i="16"/>
  <c r="L334" i="16" s="1"/>
  <c r="O334" i="16" s="1"/>
  <c r="M336" i="16"/>
  <c r="P336" i="16" s="1"/>
  <c r="N336" i="16"/>
  <c r="N334" i="16" s="1"/>
  <c r="D337" i="16"/>
  <c r="I338" i="16"/>
  <c r="J338" i="16"/>
  <c r="I340" i="16"/>
  <c r="J340" i="16"/>
  <c r="J341" i="16"/>
  <c r="J342" i="16"/>
  <c r="J343" i="16"/>
  <c r="L346" i="16"/>
  <c r="O346" i="16" s="1"/>
  <c r="M346" i="16"/>
  <c r="P346" i="16" s="1"/>
  <c r="N346" i="16"/>
  <c r="O349" i="16"/>
  <c r="P349" i="16"/>
  <c r="L350" i="16"/>
  <c r="L348" i="16" s="1"/>
  <c r="M350" i="16"/>
  <c r="M348" i="16" s="1"/>
  <c r="N350" i="16"/>
  <c r="N348" i="16" s="1"/>
  <c r="O352" i="16"/>
  <c r="P352" i="16"/>
  <c r="L353" i="16"/>
  <c r="L351" i="16" s="1"/>
  <c r="M353" i="16"/>
  <c r="M351" i="16" s="1"/>
  <c r="N353" i="16"/>
  <c r="I355" i="16"/>
  <c r="J358" i="16"/>
  <c r="K358" i="16"/>
  <c r="I359" i="16"/>
  <c r="J359" i="16"/>
  <c r="I360" i="16"/>
  <c r="J360" i="16"/>
  <c r="J361" i="16"/>
  <c r="K361" i="16"/>
  <c r="I362" i="16"/>
  <c r="J362" i="16"/>
  <c r="J355" i="16" s="1"/>
  <c r="J363" i="16"/>
  <c r="K363" i="16"/>
  <c r="I365" i="16"/>
  <c r="J368" i="16"/>
  <c r="K368" i="16"/>
  <c r="I369" i="16"/>
  <c r="J369" i="16"/>
  <c r="I370" i="16"/>
  <c r="J370" i="16"/>
  <c r="J371" i="16"/>
  <c r="K371" i="16"/>
  <c r="I372" i="16"/>
  <c r="J372" i="16"/>
  <c r="A373" i="16"/>
  <c r="J373" i="16"/>
  <c r="K373" i="16"/>
  <c r="I374" i="16"/>
  <c r="J377" i="16"/>
  <c r="K377" i="16"/>
  <c r="I378" i="16"/>
  <c r="J378" i="16"/>
  <c r="I379" i="16"/>
  <c r="J379" i="16"/>
  <c r="J380" i="16"/>
  <c r="K380" i="16"/>
  <c r="I381" i="16"/>
  <c r="J381" i="16"/>
  <c r="J374" i="16" s="1"/>
  <c r="A382" i="16"/>
  <c r="J382" i="16"/>
  <c r="K382" i="16"/>
  <c r="D384" i="16"/>
  <c r="I385" i="16"/>
  <c r="J385" i="16"/>
  <c r="I388" i="16"/>
  <c r="K388" i="16" s="1"/>
  <c r="J388" i="16"/>
  <c r="L390" i="16"/>
  <c r="M390" i="16"/>
  <c r="N390" i="16"/>
  <c r="O390" i="16"/>
  <c r="O393" i="16"/>
  <c r="P393" i="16"/>
  <c r="L394" i="16"/>
  <c r="M394" i="16"/>
  <c r="P394" i="16" s="1"/>
  <c r="N394" i="16"/>
  <c r="N392" i="16" s="1"/>
  <c r="O396" i="16"/>
  <c r="P396" i="16"/>
  <c r="L397" i="16"/>
  <c r="L395" i="16" s="1"/>
  <c r="O395" i="16" s="1"/>
  <c r="M397" i="16"/>
  <c r="N397" i="16"/>
  <c r="N395" i="16" s="1"/>
  <c r="K399" i="16"/>
  <c r="K400" i="16"/>
  <c r="I401" i="16"/>
  <c r="K401" i="16" s="1"/>
  <c r="J401" i="16"/>
  <c r="L403" i="16"/>
  <c r="M403" i="16"/>
  <c r="P403" i="16" s="1"/>
  <c r="N403" i="16"/>
  <c r="O406" i="16"/>
  <c r="P406" i="16"/>
  <c r="L407" i="16"/>
  <c r="O407" i="16" s="1"/>
  <c r="M407" i="16"/>
  <c r="P407" i="16" s="1"/>
  <c r="N407" i="16"/>
  <c r="N405" i="16" s="1"/>
  <c r="O409" i="16"/>
  <c r="P409" i="16"/>
  <c r="L410" i="16"/>
  <c r="L408" i="16" s="1"/>
  <c r="O408" i="16" s="1"/>
  <c r="M410" i="16"/>
  <c r="N410" i="16"/>
  <c r="N408" i="16" s="1"/>
  <c r="K412" i="16"/>
  <c r="K413" i="16"/>
  <c r="J417" i="16"/>
  <c r="L420" i="16"/>
  <c r="M420" i="16"/>
  <c r="N420" i="16"/>
  <c r="O420" i="16"/>
  <c r="P420" i="16"/>
  <c r="O423" i="16"/>
  <c r="P423" i="16"/>
  <c r="L424" i="16"/>
  <c r="L422" i="16" s="1"/>
  <c r="N425" i="16"/>
  <c r="N424" i="16" s="1"/>
  <c r="N421" i="16" s="1"/>
  <c r="M429" i="16"/>
  <c r="P429" i="16" s="1"/>
  <c r="N429" i="16"/>
  <c r="O430" i="16"/>
  <c r="P430" i="16"/>
  <c r="L431" i="16"/>
  <c r="P431" i="16"/>
  <c r="J434" i="16"/>
  <c r="J418" i="16" s="1"/>
  <c r="I435" i="16"/>
  <c r="K435" i="16" s="1"/>
  <c r="I437" i="16"/>
  <c r="K437" i="16" s="1"/>
  <c r="I438" i="16"/>
  <c r="K438" i="16" s="1"/>
  <c r="I439" i="16"/>
  <c r="K439" i="16" s="1"/>
  <c r="I440" i="16"/>
  <c r="K440" i="16" s="1"/>
  <c r="I441" i="16"/>
  <c r="K441" i="16" s="1"/>
  <c r="J442" i="16"/>
  <c r="J443" i="16"/>
  <c r="L445" i="16"/>
  <c r="M445" i="16"/>
  <c r="P445" i="16" s="1"/>
  <c r="N445" i="16"/>
  <c r="O445" i="16"/>
  <c r="M446" i="16"/>
  <c r="P446" i="16" s="1"/>
  <c r="M447" i="16"/>
  <c r="P447" i="16" s="1"/>
  <c r="N447" i="16"/>
  <c r="O448" i="16"/>
  <c r="P448" i="16"/>
  <c r="L449" i="16"/>
  <c r="N449" i="16"/>
  <c r="N446" i="16" s="1"/>
  <c r="P449" i="16"/>
  <c r="M454" i="16"/>
  <c r="P454" i="16" s="1"/>
  <c r="N454" i="16"/>
  <c r="O455" i="16"/>
  <c r="P455" i="16"/>
  <c r="L456" i="16"/>
  <c r="L454" i="16" s="1"/>
  <c r="O454" i="16" s="1"/>
  <c r="P456" i="16"/>
  <c r="K458" i="16"/>
  <c r="I460" i="16"/>
  <c r="I442" i="16" s="1"/>
  <c r="K442" i="16" s="1"/>
  <c r="I462" i="16"/>
  <c r="I443" i="16" s="1"/>
  <c r="K443" i="16" s="1"/>
  <c r="I463" i="16"/>
  <c r="I464" i="16"/>
  <c r="I465" i="16"/>
  <c r="J465" i="16"/>
  <c r="I466" i="16"/>
  <c r="J466" i="16"/>
  <c r="L468" i="16"/>
  <c r="O468" i="16" s="1"/>
  <c r="M468" i="16"/>
  <c r="N468" i="16"/>
  <c r="N470" i="16"/>
  <c r="O471" i="16"/>
  <c r="P471" i="16"/>
  <c r="L472" i="16"/>
  <c r="M472" i="16" s="1"/>
  <c r="M470" i="16" s="1"/>
  <c r="P470" i="16" s="1"/>
  <c r="N472" i="16"/>
  <c r="N469" i="16" s="1"/>
  <c r="N467" i="16" s="1"/>
  <c r="M477" i="16"/>
  <c r="P477" i="16" s="1"/>
  <c r="N477" i="16"/>
  <c r="O478" i="16"/>
  <c r="P478" i="16"/>
  <c r="L479" i="16"/>
  <c r="L477" i="16" s="1"/>
  <c r="O477" i="16" s="1"/>
  <c r="P479" i="16"/>
  <c r="I483" i="16"/>
  <c r="K483" i="16" s="1"/>
  <c r="I485" i="16"/>
  <c r="K485" i="16" s="1"/>
  <c r="I487" i="16"/>
  <c r="K487" i="16" s="1"/>
  <c r="I489" i="16"/>
  <c r="K489" i="16" s="1"/>
  <c r="I492" i="16"/>
  <c r="K492" i="16" s="1"/>
  <c r="I495" i="16"/>
  <c r="K495" i="16" s="1"/>
  <c r="I498" i="16"/>
  <c r="K498" i="16" s="1"/>
  <c r="J500" i="16"/>
  <c r="K500" i="16"/>
  <c r="K501" i="16"/>
  <c r="L503" i="16"/>
  <c r="L502" i="16" s="1"/>
  <c r="O502" i="16" s="1"/>
  <c r="M503" i="16"/>
  <c r="M502" i="16" s="1"/>
  <c r="P502" i="16" s="1"/>
  <c r="N503" i="16"/>
  <c r="P503" i="16"/>
  <c r="L504" i="16"/>
  <c r="M504" i="16"/>
  <c r="P504" i="16" s="1"/>
  <c r="O504" i="16"/>
  <c r="L505" i="16"/>
  <c r="O505" i="16" s="1"/>
  <c r="M505" i="16"/>
  <c r="P505" i="16" s="1"/>
  <c r="O506" i="16"/>
  <c r="P506" i="16"/>
  <c r="N507" i="16"/>
  <c r="O507" i="16"/>
  <c r="P507" i="16"/>
  <c r="L512" i="16"/>
  <c r="M512" i="16"/>
  <c r="N512" i="16"/>
  <c r="O512" i="16"/>
  <c r="P512" i="16"/>
  <c r="O513" i="16"/>
  <c r="P513" i="16"/>
  <c r="O514" i="16"/>
  <c r="P514" i="16"/>
  <c r="K516" i="16"/>
  <c r="J517" i="16"/>
  <c r="J501" i="16" s="1"/>
  <c r="K517" i="16"/>
  <c r="L524" i="16"/>
  <c r="O524" i="16" s="1"/>
  <c r="M524" i="16"/>
  <c r="N524" i="16"/>
  <c r="M525" i="16"/>
  <c r="P525" i="16" s="1"/>
  <c r="M526" i="16"/>
  <c r="P526" i="16" s="1"/>
  <c r="O527" i="16"/>
  <c r="P527" i="16"/>
  <c r="L528" i="16"/>
  <c r="L526" i="16" s="1"/>
  <c r="O526" i="16" s="1"/>
  <c r="N528" i="16"/>
  <c r="N526" i="16" s="1"/>
  <c r="P528" i="16"/>
  <c r="M533" i="16"/>
  <c r="P533" i="16" s="1"/>
  <c r="N533" i="16"/>
  <c r="O534" i="16"/>
  <c r="P534" i="16"/>
  <c r="L535" i="16"/>
  <c r="P535" i="16"/>
  <c r="I537" i="16"/>
  <c r="K537" i="16" s="1"/>
  <c r="I538" i="16"/>
  <c r="I539" i="16"/>
  <c r="K539" i="16" s="1"/>
  <c r="I540" i="16"/>
  <c r="K540" i="16" s="1"/>
  <c r="I541" i="16"/>
  <c r="K541" i="16" s="1"/>
  <c r="I542" i="16"/>
  <c r="K542" i="16" s="1"/>
  <c r="L545" i="16"/>
  <c r="O548" i="16"/>
  <c r="P548" i="16"/>
  <c r="L549" i="16"/>
  <c r="N552" i="16"/>
  <c r="N549" i="16" s="1"/>
  <c r="N546" i="16" s="1"/>
  <c r="M555" i="16"/>
  <c r="M545" i="16" s="1"/>
  <c r="P545" i="16" s="1"/>
  <c r="N555" i="16"/>
  <c r="N545" i="16" s="1"/>
  <c r="N544" i="16" s="1"/>
  <c r="P555" i="16"/>
  <c r="O556" i="16"/>
  <c r="P556" i="16"/>
  <c r="L557" i="16"/>
  <c r="P557" i="16"/>
  <c r="I560" i="16"/>
  <c r="K560" i="16" s="1"/>
  <c r="J560" i="16"/>
  <c r="I561" i="16"/>
  <c r="K561" i="16" s="1"/>
  <c r="J561" i="16"/>
  <c r="I568" i="16"/>
  <c r="K568" i="16" s="1"/>
  <c r="J568" i="16"/>
  <c r="I569" i="16"/>
  <c r="K569" i="16" s="1"/>
  <c r="J569" i="16"/>
  <c r="I576" i="16"/>
  <c r="K576" i="16" s="1"/>
  <c r="I577" i="16"/>
  <c r="K577" i="16" s="1"/>
  <c r="J577" i="16"/>
  <c r="J582" i="16"/>
  <c r="J576" i="16" s="1"/>
  <c r="J559" i="16" s="1"/>
  <c r="J543" i="16" s="1"/>
  <c r="J583" i="16"/>
  <c r="I593" i="16"/>
  <c r="I592" i="16" s="1"/>
  <c r="J593" i="16"/>
  <c r="J592" i="16" s="1"/>
  <c r="I594" i="16"/>
  <c r="J595" i="16"/>
  <c r="J596" i="16"/>
  <c r="J603" i="16"/>
  <c r="J604" i="16"/>
  <c r="J611" i="16"/>
  <c r="K611" i="16"/>
  <c r="J612" i="16"/>
  <c r="K612" i="16"/>
  <c r="J613" i="16"/>
  <c r="K613" i="16"/>
  <c r="I620" i="16"/>
  <c r="K620" i="16" s="1"/>
  <c r="J620" i="16"/>
  <c r="I621" i="16"/>
  <c r="K621" i="16" s="1"/>
  <c r="J621" i="16"/>
  <c r="L630" i="16"/>
  <c r="M630" i="16"/>
  <c r="P630" i="16" s="1"/>
  <c r="N630" i="16"/>
  <c r="O630" i="16"/>
  <c r="O633" i="16"/>
  <c r="P633" i="16"/>
  <c r="L634" i="16"/>
  <c r="M634" i="16" s="1"/>
  <c r="N634" i="16"/>
  <c r="N632" i="16" s="1"/>
  <c r="N638" i="16"/>
  <c r="M639" i="16"/>
  <c r="N639" i="16"/>
  <c r="P639" i="16"/>
  <c r="O640" i="16"/>
  <c r="P640" i="16"/>
  <c r="L641" i="16"/>
  <c r="L639" i="16" s="1"/>
  <c r="O639" i="16" s="1"/>
  <c r="P641" i="16"/>
  <c r="I643" i="16"/>
  <c r="K643" i="16" s="1"/>
  <c r="I644" i="16"/>
  <c r="K644" i="16" s="1"/>
  <c r="J645" i="16"/>
  <c r="K645" i="16"/>
  <c r="J646" i="16"/>
  <c r="K646" i="16"/>
  <c r="I647" i="16"/>
  <c r="J647" i="16"/>
  <c r="J648" i="16"/>
  <c r="K648" i="16"/>
  <c r="I649" i="16"/>
  <c r="J649" i="16"/>
  <c r="J650" i="16"/>
  <c r="K650" i="16"/>
  <c r="I651" i="16"/>
  <c r="I628" i="16" s="1"/>
  <c r="J651" i="16"/>
  <c r="J628" i="16" s="1"/>
  <c r="A652" i="16"/>
  <c r="J652" i="16"/>
  <c r="K652" i="16"/>
  <c r="L656" i="16"/>
  <c r="M656" i="16"/>
  <c r="P656" i="16" s="1"/>
  <c r="N656" i="16"/>
  <c r="N655" i="16" s="1"/>
  <c r="M657" i="16"/>
  <c r="P657" i="16" s="1"/>
  <c r="M658" i="16"/>
  <c r="P658" i="16"/>
  <c r="O659" i="16"/>
  <c r="P659" i="16"/>
  <c r="L660" i="16"/>
  <c r="O660" i="16" s="1"/>
  <c r="N660" i="16"/>
  <c r="N657" i="16" s="1"/>
  <c r="P660" i="16"/>
  <c r="L665" i="16"/>
  <c r="O665" i="16" s="1"/>
  <c r="M665" i="16"/>
  <c r="P665" i="16" s="1"/>
  <c r="N665" i="16"/>
  <c r="O666" i="16"/>
  <c r="P666" i="16"/>
  <c r="O667" i="16"/>
  <c r="P667" i="16"/>
  <c r="I669" i="16"/>
  <c r="K672" i="16" s="1"/>
  <c r="I670" i="16"/>
  <c r="K670" i="16" s="1"/>
  <c r="I671" i="16"/>
  <c r="K671" i="16" s="1"/>
  <c r="J675" i="16"/>
  <c r="J669" i="16" s="1"/>
  <c r="J654" i="16" s="1"/>
  <c r="I678" i="16"/>
  <c r="K678" i="16" s="1"/>
  <c r="J679" i="16"/>
  <c r="J678" i="16" s="1"/>
  <c r="L686" i="16"/>
  <c r="O686" i="16" s="1"/>
  <c r="M686" i="16"/>
  <c r="P686" i="16" s="1"/>
  <c r="N686" i="16"/>
  <c r="L690" i="16"/>
  <c r="L687" i="16" s="1"/>
  <c r="L685" i="16" s="1"/>
  <c r="N690" i="16"/>
  <c r="N688" i="16" s="1"/>
  <c r="L695" i="16"/>
  <c r="M695" i="16"/>
  <c r="P695" i="16" s="1"/>
  <c r="N695" i="16"/>
  <c r="O695" i="16"/>
  <c r="O696" i="16"/>
  <c r="P696" i="16"/>
  <c r="O697" i="16"/>
  <c r="P697" i="16"/>
  <c r="I699" i="16"/>
  <c r="J699" i="16"/>
  <c r="I700" i="16"/>
  <c r="J700" i="16"/>
  <c r="I701" i="16"/>
  <c r="J701" i="16"/>
  <c r="I704" i="16"/>
  <c r="I707" i="16"/>
  <c r="I708" i="16"/>
  <c r="K708" i="16" s="1"/>
  <c r="J708" i="16"/>
  <c r="J718" i="16"/>
  <c r="J719" i="16"/>
  <c r="I720" i="16"/>
  <c r="J720" i="16"/>
  <c r="I721" i="16"/>
  <c r="I722" i="16"/>
  <c r="I723" i="16"/>
  <c r="J723" i="16"/>
  <c r="J724" i="16"/>
  <c r="I725" i="16"/>
  <c r="J725" i="16"/>
  <c r="I726" i="16"/>
  <c r="K726" i="16" s="1"/>
  <c r="J726" i="16"/>
  <c r="J727" i="16"/>
  <c r="I728" i="16"/>
  <c r="K728" i="16" s="1"/>
  <c r="J728" i="16"/>
  <c r="I729" i="16"/>
  <c r="K729" i="16" s="1"/>
  <c r="J729" i="16"/>
  <c r="J736" i="16"/>
  <c r="K736" i="16"/>
  <c r="M737" i="16"/>
  <c r="P737" i="16" s="1"/>
  <c r="L738" i="16"/>
  <c r="O738" i="16" s="1"/>
  <c r="M738" i="16"/>
  <c r="P738" i="16" s="1"/>
  <c r="N738" i="16"/>
  <c r="L739" i="16"/>
  <c r="L737" i="16" s="1"/>
  <c r="O737" i="16" s="1"/>
  <c r="M739" i="16"/>
  <c r="P739" i="16" s="1"/>
  <c r="L740" i="16"/>
  <c r="O740" i="16" s="1"/>
  <c r="M740" i="16"/>
  <c r="P740" i="16" s="1"/>
  <c r="O741" i="16"/>
  <c r="P741" i="16"/>
  <c r="N742" i="16"/>
  <c r="N740" i="16" s="1"/>
  <c r="O742" i="16"/>
  <c r="P742" i="16"/>
  <c r="L747" i="16"/>
  <c r="M747" i="16"/>
  <c r="P747" i="16" s="1"/>
  <c r="N747" i="16"/>
  <c r="O747" i="16"/>
  <c r="O748" i="16"/>
  <c r="P748" i="16"/>
  <c r="O749" i="16"/>
  <c r="P749" i="16"/>
  <c r="J753" i="16"/>
  <c r="K753" i="16"/>
  <c r="L755" i="16"/>
  <c r="M755" i="16"/>
  <c r="N755" i="16"/>
  <c r="O755" i="16"/>
  <c r="P755" i="16"/>
  <c r="L756" i="16"/>
  <c r="L754" i="16" s="1"/>
  <c r="O754" i="16" s="1"/>
  <c r="M756" i="16"/>
  <c r="P756" i="16" s="1"/>
  <c r="L757" i="16"/>
  <c r="O757" i="16" s="1"/>
  <c r="M757" i="16"/>
  <c r="P757" i="16" s="1"/>
  <c r="O758" i="16"/>
  <c r="P758" i="16"/>
  <c r="N759" i="16"/>
  <c r="N757" i="16" s="1"/>
  <c r="O759" i="16"/>
  <c r="P759" i="16"/>
  <c r="L764" i="16"/>
  <c r="O764" i="16" s="1"/>
  <c r="M764" i="16"/>
  <c r="P764" i="16" s="1"/>
  <c r="N764" i="16"/>
  <c r="O765" i="16"/>
  <c r="P765" i="16"/>
  <c r="O766" i="16"/>
  <c r="P766" i="16"/>
  <c r="J769" i="16"/>
  <c r="K769" i="16"/>
  <c r="L771" i="16"/>
  <c r="L770" i="16" s="1"/>
  <c r="O770" i="16" s="1"/>
  <c r="M771" i="16"/>
  <c r="M770" i="16" s="1"/>
  <c r="P770" i="16" s="1"/>
  <c r="N771" i="16"/>
  <c r="O771" i="16"/>
  <c r="L772" i="16"/>
  <c r="M772" i="16"/>
  <c r="O772" i="16"/>
  <c r="P772" i="16"/>
  <c r="L773" i="16"/>
  <c r="O773" i="16" s="1"/>
  <c r="M773" i="16"/>
  <c r="P773" i="16" s="1"/>
  <c r="O774" i="16"/>
  <c r="P774" i="16"/>
  <c r="N775" i="16"/>
  <c r="N773" i="16" s="1"/>
  <c r="O775" i="16"/>
  <c r="P775" i="16"/>
  <c r="L780" i="16"/>
  <c r="O780" i="16" s="1"/>
  <c r="M780" i="16"/>
  <c r="P780" i="16" s="1"/>
  <c r="N780" i="16"/>
  <c r="O781" i="16"/>
  <c r="P781" i="16"/>
  <c r="O782" i="16"/>
  <c r="P782" i="16"/>
  <c r="L787" i="16"/>
  <c r="O787" i="16" s="1"/>
  <c r="M787" i="16"/>
  <c r="P787" i="16" s="1"/>
  <c r="N787" i="16"/>
  <c r="M788" i="16"/>
  <c r="P788" i="16" s="1"/>
  <c r="M789" i="16"/>
  <c r="P789" i="16" s="1"/>
  <c r="O790" i="16"/>
  <c r="P790" i="16"/>
  <c r="L791" i="16"/>
  <c r="L788" i="16" s="1"/>
  <c r="O788" i="16" s="1"/>
  <c r="N791" i="16"/>
  <c r="N789" i="16" s="1"/>
  <c r="P791" i="16"/>
  <c r="L796" i="16"/>
  <c r="M796" i="16"/>
  <c r="P796" i="16" s="1"/>
  <c r="N796" i="16"/>
  <c r="O796" i="16"/>
  <c r="O797" i="16"/>
  <c r="P797" i="16"/>
  <c r="O798" i="16"/>
  <c r="P798" i="16"/>
  <c r="I800" i="16"/>
  <c r="I785" i="16" s="1"/>
  <c r="K785" i="16" s="1"/>
  <c r="J800" i="16"/>
  <c r="J785" i="16" s="1"/>
  <c r="J801" i="16"/>
  <c r="K802" i="16"/>
  <c r="J804" i="16"/>
  <c r="K804" i="16"/>
  <c r="L806" i="16"/>
  <c r="L805" i="16" s="1"/>
  <c r="O805" i="16" s="1"/>
  <c r="M806" i="16"/>
  <c r="M805" i="16" s="1"/>
  <c r="P805" i="16" s="1"/>
  <c r="N806" i="16"/>
  <c r="L807" i="16"/>
  <c r="M807" i="16"/>
  <c r="P807" i="16" s="1"/>
  <c r="O807" i="16"/>
  <c r="L808" i="16"/>
  <c r="O808" i="16" s="1"/>
  <c r="M808" i="16"/>
  <c r="P808" i="16" s="1"/>
  <c r="O809" i="16"/>
  <c r="P809" i="16"/>
  <c r="N810" i="16"/>
  <c r="N807" i="16" s="1"/>
  <c r="O810" i="16"/>
  <c r="P810" i="16"/>
  <c r="L815" i="16"/>
  <c r="O815" i="16" s="1"/>
  <c r="M815" i="16"/>
  <c r="P815" i="16" s="1"/>
  <c r="N815" i="16"/>
  <c r="O816" i="16"/>
  <c r="P816" i="16"/>
  <c r="O817" i="16"/>
  <c r="P817" i="16"/>
  <c r="H820" i="16"/>
  <c r="I821" i="16"/>
  <c r="J821" i="16"/>
  <c r="I822" i="16"/>
  <c r="J822" i="16"/>
  <c r="I823" i="16"/>
  <c r="J823" i="16"/>
  <c r="I824" i="16"/>
  <c r="J824" i="16"/>
  <c r="I825" i="16"/>
  <c r="J825" i="16"/>
  <c r="I826" i="16"/>
  <c r="J826" i="16"/>
  <c r="I827" i="16"/>
  <c r="J827" i="16"/>
  <c r="I828" i="16"/>
  <c r="J828" i="16"/>
  <c r="L22" i="15"/>
  <c r="M22" i="15"/>
  <c r="P22" i="15" s="1"/>
  <c r="N22" i="15"/>
  <c r="L25" i="15"/>
  <c r="M25" i="15"/>
  <c r="M15" i="15" s="1"/>
  <c r="N25" i="15"/>
  <c r="O25" i="15"/>
  <c r="L32" i="15"/>
  <c r="M32" i="15"/>
  <c r="N32" i="15"/>
  <c r="L35" i="15"/>
  <c r="O35" i="15" s="1"/>
  <c r="M35" i="15"/>
  <c r="P35" i="15" s="1"/>
  <c r="N35" i="15"/>
  <c r="N34" i="15" s="1"/>
  <c r="M36" i="15"/>
  <c r="P36" i="15" s="1"/>
  <c r="N36" i="15"/>
  <c r="L42" i="15"/>
  <c r="M42" i="15"/>
  <c r="P42" i="15" s="1"/>
  <c r="N42" i="15"/>
  <c r="O42" i="15"/>
  <c r="O45" i="15"/>
  <c r="P45" i="15"/>
  <c r="L46" i="15"/>
  <c r="M46" i="15"/>
  <c r="N46" i="15"/>
  <c r="O48" i="15"/>
  <c r="P48" i="15"/>
  <c r="L49" i="15"/>
  <c r="L47" i="15" s="1"/>
  <c r="O47" i="15" s="1"/>
  <c r="M49" i="15"/>
  <c r="P49" i="15" s="1"/>
  <c r="N49" i="15"/>
  <c r="N47" i="15" s="1"/>
  <c r="L54" i="15"/>
  <c r="O54" i="15" s="1"/>
  <c r="M54" i="15"/>
  <c r="P54" i="15" s="1"/>
  <c r="N54" i="15"/>
  <c r="O57" i="15"/>
  <c r="P57" i="15"/>
  <c r="L58" i="15"/>
  <c r="M58" i="15"/>
  <c r="M56" i="15" s="1"/>
  <c r="N58" i="15"/>
  <c r="N56" i="15" s="1"/>
  <c r="O60" i="15"/>
  <c r="P60" i="15"/>
  <c r="L61" i="15"/>
  <c r="M61" i="15"/>
  <c r="M59" i="15" s="1"/>
  <c r="P59" i="15" s="1"/>
  <c r="N61" i="15"/>
  <c r="N59" i="15" s="1"/>
  <c r="L67" i="15"/>
  <c r="M67" i="15"/>
  <c r="P67" i="15" s="1"/>
  <c r="N67" i="15"/>
  <c r="O67" i="15"/>
  <c r="O70" i="15"/>
  <c r="P70" i="15"/>
  <c r="L71" i="15"/>
  <c r="M71" i="15"/>
  <c r="P71" i="15" s="1"/>
  <c r="N71" i="15"/>
  <c r="O73" i="15"/>
  <c r="P73" i="15"/>
  <c r="L74" i="15"/>
  <c r="L72" i="15" s="1"/>
  <c r="O72" i="15" s="1"/>
  <c r="M74" i="15"/>
  <c r="N74" i="15"/>
  <c r="N72" i="15" s="1"/>
  <c r="J76" i="15"/>
  <c r="J64" i="15" s="1"/>
  <c r="J77" i="15"/>
  <c r="J65" i="15" s="1"/>
  <c r="I78" i="15"/>
  <c r="I79" i="15"/>
  <c r="I80" i="15"/>
  <c r="K80" i="15" s="1"/>
  <c r="I81" i="15"/>
  <c r="K81" i="15" s="1"/>
  <c r="I82" i="15"/>
  <c r="K82" i="15" s="1"/>
  <c r="I83" i="15"/>
  <c r="K83" i="15" s="1"/>
  <c r="I84" i="15"/>
  <c r="K84" i="15" s="1"/>
  <c r="L89" i="15"/>
  <c r="M89" i="15"/>
  <c r="P89" i="15" s="1"/>
  <c r="N89" i="15"/>
  <c r="O92" i="15"/>
  <c r="P92" i="15"/>
  <c r="L93" i="15"/>
  <c r="L91" i="15" s="1"/>
  <c r="M93" i="15"/>
  <c r="N93" i="15"/>
  <c r="O95" i="15"/>
  <c r="P95" i="15"/>
  <c r="L96" i="15"/>
  <c r="O96" i="15" s="1"/>
  <c r="M96" i="15"/>
  <c r="N96" i="15"/>
  <c r="I98" i="15"/>
  <c r="K98" i="15" s="1"/>
  <c r="J98" i="15"/>
  <c r="J86" i="15" s="1"/>
  <c r="I99" i="15"/>
  <c r="J99" i="15"/>
  <c r="J87" i="15" s="1"/>
  <c r="I100" i="15"/>
  <c r="J100" i="15"/>
  <c r="I102" i="15"/>
  <c r="K102" i="15" s="1"/>
  <c r="I103" i="15"/>
  <c r="K103" i="15" s="1"/>
  <c r="I104" i="15"/>
  <c r="K104" i="15" s="1"/>
  <c r="I106" i="15"/>
  <c r="K106" i="15" s="1"/>
  <c r="I107" i="15"/>
  <c r="K107" i="15" s="1"/>
  <c r="I109" i="15"/>
  <c r="K109" i="15" s="1"/>
  <c r="I110" i="15"/>
  <c r="K110" i="15" s="1"/>
  <c r="I111" i="15"/>
  <c r="J111" i="15"/>
  <c r="J112" i="15"/>
  <c r="I113" i="15"/>
  <c r="K113" i="15" s="1"/>
  <c r="I114" i="15"/>
  <c r="K114" i="15" s="1"/>
  <c r="I115" i="15"/>
  <c r="K115" i="15" s="1"/>
  <c r="I116" i="15"/>
  <c r="K116" i="15" s="1"/>
  <c r="L120" i="15"/>
  <c r="M120" i="15"/>
  <c r="P120" i="15" s="1"/>
  <c r="N120" i="15"/>
  <c r="O123" i="15"/>
  <c r="P123" i="15"/>
  <c r="L124" i="15"/>
  <c r="L122" i="15" s="1"/>
  <c r="O122" i="15" s="1"/>
  <c r="M124" i="15"/>
  <c r="N124" i="15"/>
  <c r="N122" i="15" s="1"/>
  <c r="O126" i="15"/>
  <c r="P126" i="15"/>
  <c r="L127" i="15"/>
  <c r="L125" i="15" s="1"/>
  <c r="O125" i="15" s="1"/>
  <c r="M127" i="15"/>
  <c r="M125" i="15" s="1"/>
  <c r="P125" i="15" s="1"/>
  <c r="N127" i="15"/>
  <c r="N125" i="15" s="1"/>
  <c r="J130" i="15"/>
  <c r="L133" i="15"/>
  <c r="M133" i="15"/>
  <c r="N133" i="15"/>
  <c r="P133" i="15"/>
  <c r="O136" i="15"/>
  <c r="P136" i="15"/>
  <c r="L137" i="15"/>
  <c r="M137" i="15"/>
  <c r="M135" i="15" s="1"/>
  <c r="P135" i="15" s="1"/>
  <c r="N137" i="15"/>
  <c r="N135" i="15" s="1"/>
  <c r="O139" i="15"/>
  <c r="P139" i="15"/>
  <c r="L140" i="15"/>
  <c r="L138" i="15" s="1"/>
  <c r="O138" i="15" s="1"/>
  <c r="M140" i="15"/>
  <c r="M138" i="15" s="1"/>
  <c r="P138" i="15" s="1"/>
  <c r="N140" i="15"/>
  <c r="N138" i="15" s="1"/>
  <c r="I144" i="15"/>
  <c r="K144" i="15" s="1"/>
  <c r="I145" i="15"/>
  <c r="I146" i="15"/>
  <c r="J148" i="15"/>
  <c r="L150" i="15"/>
  <c r="M150" i="15"/>
  <c r="P150" i="15" s="1"/>
  <c r="N150" i="15"/>
  <c r="O150" i="15"/>
  <c r="O153" i="15"/>
  <c r="P153" i="15"/>
  <c r="L154" i="15"/>
  <c r="L152" i="15" s="1"/>
  <c r="O152" i="15" s="1"/>
  <c r="M154" i="15"/>
  <c r="M152" i="15" s="1"/>
  <c r="P152" i="15" s="1"/>
  <c r="N154" i="15"/>
  <c r="N152" i="15" s="1"/>
  <c r="O156" i="15"/>
  <c r="P156" i="15"/>
  <c r="L157" i="15"/>
  <c r="L155" i="15" s="1"/>
  <c r="O155" i="15" s="1"/>
  <c r="M157" i="15"/>
  <c r="M155" i="15" s="1"/>
  <c r="P155" i="15" s="1"/>
  <c r="N157" i="15"/>
  <c r="N155" i="15" s="1"/>
  <c r="I159" i="15"/>
  <c r="I148" i="15" s="1"/>
  <c r="K148" i="15" s="1"/>
  <c r="L166" i="15"/>
  <c r="M166" i="15"/>
  <c r="P166" i="15" s="1"/>
  <c r="N166" i="15"/>
  <c r="O166" i="15"/>
  <c r="O169" i="15"/>
  <c r="P169" i="15"/>
  <c r="L170" i="15"/>
  <c r="L168" i="15" s="1"/>
  <c r="M170" i="15"/>
  <c r="M168" i="15" s="1"/>
  <c r="N170" i="15"/>
  <c r="N168" i="15" s="1"/>
  <c r="O172" i="15"/>
  <c r="P172" i="15"/>
  <c r="L173" i="15"/>
  <c r="O173" i="15" s="1"/>
  <c r="M173" i="15"/>
  <c r="N173" i="15"/>
  <c r="N171" i="15" s="1"/>
  <c r="J174" i="15"/>
  <c r="I176" i="15"/>
  <c r="K176" i="15" s="1"/>
  <c r="J177" i="15"/>
  <c r="L182" i="15"/>
  <c r="M182" i="15"/>
  <c r="P182" i="15" s="1"/>
  <c r="N182" i="15"/>
  <c r="O182" i="15"/>
  <c r="O185" i="15"/>
  <c r="P185" i="15"/>
  <c r="L186" i="15"/>
  <c r="L184" i="15" s="1"/>
  <c r="M186" i="15"/>
  <c r="N186" i="15"/>
  <c r="O188" i="15"/>
  <c r="P188" i="15"/>
  <c r="L189" i="15"/>
  <c r="O189" i="15" s="1"/>
  <c r="M189" i="15"/>
  <c r="N189" i="15"/>
  <c r="N187" i="15" s="1"/>
  <c r="J190" i="15"/>
  <c r="L191" i="15"/>
  <c r="O191" i="15" s="1"/>
  <c r="P191" i="15"/>
  <c r="I193" i="15"/>
  <c r="K193" i="15" s="1"/>
  <c r="J194" i="15"/>
  <c r="J197" i="15"/>
  <c r="N198" i="15"/>
  <c r="P198" i="15"/>
  <c r="L199" i="15"/>
  <c r="L200" i="15"/>
  <c r="L201" i="15"/>
  <c r="L202" i="15"/>
  <c r="I204" i="15"/>
  <c r="I197" i="15" s="1"/>
  <c r="K206" i="15"/>
  <c r="K207" i="15"/>
  <c r="J208" i="15"/>
  <c r="N209" i="15"/>
  <c r="P209" i="15"/>
  <c r="L210" i="15"/>
  <c r="L211" i="15"/>
  <c r="L212" i="15"/>
  <c r="I214" i="15"/>
  <c r="K214" i="15" s="1"/>
  <c r="I215" i="15"/>
  <c r="K215" i="15" s="1"/>
  <c r="J216" i="15"/>
  <c r="N217" i="15"/>
  <c r="P217" i="15"/>
  <c r="L218" i="15"/>
  <c r="L219" i="15"/>
  <c r="L220" i="15"/>
  <c r="I223" i="15"/>
  <c r="K223" i="15" s="1"/>
  <c r="I224" i="15"/>
  <c r="I216" i="15" s="1"/>
  <c r="I225" i="15"/>
  <c r="K225" i="15" s="1"/>
  <c r="N228" i="15"/>
  <c r="N229" i="15"/>
  <c r="N230" i="15"/>
  <c r="N231" i="15"/>
  <c r="J233" i="15"/>
  <c r="I235" i="15"/>
  <c r="J235" i="15"/>
  <c r="K235" i="15"/>
  <c r="I236" i="15"/>
  <c r="J236" i="15"/>
  <c r="J237" i="15"/>
  <c r="N238" i="15"/>
  <c r="P238" i="15"/>
  <c r="L239" i="15"/>
  <c r="L240" i="15"/>
  <c r="L241" i="15"/>
  <c r="L242" i="15"/>
  <c r="I244" i="15"/>
  <c r="K246" i="15"/>
  <c r="K247" i="15"/>
  <c r="J248" i="15"/>
  <c r="N249" i="15"/>
  <c r="P249" i="15"/>
  <c r="L250" i="15"/>
  <c r="L251" i="15"/>
  <c r="L252" i="15"/>
  <c r="L253" i="15"/>
  <c r="I255" i="15"/>
  <c r="K257" i="15"/>
  <c r="K258" i="15"/>
  <c r="J260" i="15"/>
  <c r="L262" i="15"/>
  <c r="M262" i="15"/>
  <c r="P262" i="15" s="1"/>
  <c r="N262" i="15"/>
  <c r="O262" i="15"/>
  <c r="O265" i="15"/>
  <c r="P265" i="15"/>
  <c r="L266" i="15"/>
  <c r="L264" i="15" s="1"/>
  <c r="M266" i="15"/>
  <c r="N266" i="15"/>
  <c r="N264" i="15" s="1"/>
  <c r="O268" i="15"/>
  <c r="P268" i="15"/>
  <c r="L269" i="15"/>
  <c r="L267" i="15" s="1"/>
  <c r="O267" i="15" s="1"/>
  <c r="M269" i="15"/>
  <c r="N269" i="15"/>
  <c r="N267" i="15" s="1"/>
  <c r="I271" i="15"/>
  <c r="I260" i="15" s="1"/>
  <c r="J276" i="15"/>
  <c r="L278" i="15"/>
  <c r="O278" i="15" s="1"/>
  <c r="M278" i="15"/>
  <c r="N278" i="15"/>
  <c r="P278" i="15"/>
  <c r="O281" i="15"/>
  <c r="P281" i="15"/>
  <c r="L282" i="15"/>
  <c r="L280" i="15" s="1"/>
  <c r="O280" i="15" s="1"/>
  <c r="M282" i="15"/>
  <c r="M280" i="15" s="1"/>
  <c r="P280" i="15" s="1"/>
  <c r="N282" i="15"/>
  <c r="N280" i="15" s="1"/>
  <c r="O284" i="15"/>
  <c r="P284" i="15"/>
  <c r="L285" i="15"/>
  <c r="L283" i="15" s="1"/>
  <c r="O283" i="15" s="1"/>
  <c r="M285" i="15"/>
  <c r="M283" i="15" s="1"/>
  <c r="P283" i="15" s="1"/>
  <c r="N285" i="15"/>
  <c r="N283" i="15" s="1"/>
  <c r="I287" i="15"/>
  <c r="K287" i="15" s="1"/>
  <c r="I288" i="15"/>
  <c r="I275" i="15" s="1"/>
  <c r="K275" i="15" s="1"/>
  <c r="I290" i="15"/>
  <c r="K290" i="15" s="1"/>
  <c r="I291" i="15"/>
  <c r="K291" i="15" s="1"/>
  <c r="I293" i="15"/>
  <c r="K293" i="15" s="1"/>
  <c r="I294" i="15"/>
  <c r="K294" i="15" s="1"/>
  <c r="J297" i="15"/>
  <c r="L299" i="15"/>
  <c r="O299" i="15" s="1"/>
  <c r="M299" i="15"/>
  <c r="N299" i="15"/>
  <c r="O302" i="15"/>
  <c r="P302" i="15"/>
  <c r="L303" i="15"/>
  <c r="L301" i="15" s="1"/>
  <c r="M303" i="15"/>
  <c r="M301" i="15" s="1"/>
  <c r="N303" i="15"/>
  <c r="N301" i="15" s="1"/>
  <c r="O305" i="15"/>
  <c r="P305" i="15"/>
  <c r="L306" i="15"/>
  <c r="M306" i="15"/>
  <c r="M304" i="15" s="1"/>
  <c r="P304" i="15" s="1"/>
  <c r="N306" i="15"/>
  <c r="N304" i="15" s="1"/>
  <c r="I309" i="15"/>
  <c r="I297" i="15" s="1"/>
  <c r="K297" i="15" s="1"/>
  <c r="I310" i="15"/>
  <c r="K310" i="15" s="1"/>
  <c r="I311" i="15"/>
  <c r="K311" i="15" s="1"/>
  <c r="I312" i="15"/>
  <c r="K312" i="15" s="1"/>
  <c r="J314" i="15"/>
  <c r="L316" i="15"/>
  <c r="M316" i="15"/>
  <c r="P316" i="15" s="1"/>
  <c r="N316" i="15"/>
  <c r="O316" i="15"/>
  <c r="O319" i="15"/>
  <c r="P319" i="15"/>
  <c r="L320" i="15"/>
  <c r="L318" i="15" s="1"/>
  <c r="O318" i="15" s="1"/>
  <c r="M320" i="15"/>
  <c r="N320" i="15"/>
  <c r="N318" i="15" s="1"/>
  <c r="O322" i="15"/>
  <c r="P322" i="15"/>
  <c r="L323" i="15"/>
  <c r="O323" i="15" s="1"/>
  <c r="M323" i="15"/>
  <c r="M321" i="15" s="1"/>
  <c r="P321" i="15" s="1"/>
  <c r="N323" i="15"/>
  <c r="N321" i="15" s="1"/>
  <c r="I325" i="15"/>
  <c r="I314" i="15" s="1"/>
  <c r="K314" i="15" s="1"/>
  <c r="I327" i="15"/>
  <c r="L329" i="15"/>
  <c r="M329" i="15"/>
  <c r="P329" i="15" s="1"/>
  <c r="N329" i="15"/>
  <c r="O329" i="15"/>
  <c r="O332" i="15"/>
  <c r="P332" i="15"/>
  <c r="L333" i="15"/>
  <c r="L331" i="15" s="1"/>
  <c r="M333" i="15"/>
  <c r="N333" i="15"/>
  <c r="N331" i="15" s="1"/>
  <c r="O335" i="15"/>
  <c r="P335" i="15"/>
  <c r="L336" i="15"/>
  <c r="O336" i="15" s="1"/>
  <c r="M336" i="15"/>
  <c r="M334" i="15" s="1"/>
  <c r="P334" i="15" s="1"/>
  <c r="N336" i="15"/>
  <c r="N334" i="15" s="1"/>
  <c r="D337" i="15"/>
  <c r="I338" i="15"/>
  <c r="J338" i="15"/>
  <c r="I340" i="15"/>
  <c r="J340" i="15"/>
  <c r="J341" i="15"/>
  <c r="J342" i="15"/>
  <c r="J343" i="15"/>
  <c r="L346" i="15"/>
  <c r="M346" i="15"/>
  <c r="P346" i="15" s="1"/>
  <c r="N346" i="15"/>
  <c r="O349" i="15"/>
  <c r="P349" i="15"/>
  <c r="L350" i="15"/>
  <c r="L348" i="15" s="1"/>
  <c r="M350" i="15"/>
  <c r="N350" i="15"/>
  <c r="O352" i="15"/>
  <c r="P352" i="15"/>
  <c r="L353" i="15"/>
  <c r="L351" i="15" s="1"/>
  <c r="M353" i="15"/>
  <c r="M351" i="15" s="1"/>
  <c r="N353" i="15"/>
  <c r="I355" i="15"/>
  <c r="J358" i="15"/>
  <c r="K358" i="15"/>
  <c r="I359" i="15"/>
  <c r="J359" i="15"/>
  <c r="I360" i="15"/>
  <c r="J360" i="15"/>
  <c r="J361" i="15"/>
  <c r="K361" i="15"/>
  <c r="I362" i="15"/>
  <c r="J362" i="15"/>
  <c r="J355" i="15" s="1"/>
  <c r="J363" i="15"/>
  <c r="K363" i="15"/>
  <c r="I365" i="15"/>
  <c r="J368" i="15"/>
  <c r="K368" i="15"/>
  <c r="I369" i="15"/>
  <c r="J369" i="15"/>
  <c r="I370" i="15"/>
  <c r="J370" i="15"/>
  <c r="J371" i="15"/>
  <c r="K371" i="15"/>
  <c r="I372" i="15"/>
  <c r="J372" i="15"/>
  <c r="J365" i="15" s="1"/>
  <c r="A373" i="15"/>
  <c r="J373" i="15"/>
  <c r="K373" i="15"/>
  <c r="I374" i="15"/>
  <c r="J377" i="15"/>
  <c r="K377" i="15"/>
  <c r="I378" i="15"/>
  <c r="J378" i="15"/>
  <c r="I379" i="15"/>
  <c r="J379" i="15"/>
  <c r="J380" i="15"/>
  <c r="K380" i="15"/>
  <c r="I381" i="15"/>
  <c r="J381" i="15"/>
  <c r="J374" i="15" s="1"/>
  <c r="A382" i="15"/>
  <c r="J382" i="15"/>
  <c r="K382" i="15"/>
  <c r="D384" i="15"/>
  <c r="I385" i="15"/>
  <c r="J385" i="15"/>
  <c r="I388" i="15"/>
  <c r="K388" i="15" s="1"/>
  <c r="J388" i="15"/>
  <c r="L390" i="15"/>
  <c r="M390" i="15"/>
  <c r="P390" i="15" s="1"/>
  <c r="N390" i="15"/>
  <c r="O393" i="15"/>
  <c r="P393" i="15"/>
  <c r="L394" i="15"/>
  <c r="M394" i="15"/>
  <c r="N394" i="15"/>
  <c r="N392" i="15" s="1"/>
  <c r="O396" i="15"/>
  <c r="P396" i="15"/>
  <c r="L397" i="15"/>
  <c r="M397" i="15"/>
  <c r="P397" i="15" s="1"/>
  <c r="N397" i="15"/>
  <c r="N395" i="15" s="1"/>
  <c r="K399" i="15"/>
  <c r="K400" i="15"/>
  <c r="I401" i="15"/>
  <c r="K401" i="15" s="1"/>
  <c r="J401" i="15"/>
  <c r="L403" i="15"/>
  <c r="M403" i="15"/>
  <c r="P403" i="15" s="1"/>
  <c r="N403" i="15"/>
  <c r="O403" i="15"/>
  <c r="O406" i="15"/>
  <c r="P406" i="15"/>
  <c r="L407" i="15"/>
  <c r="M407" i="15"/>
  <c r="N407" i="15"/>
  <c r="N405" i="15" s="1"/>
  <c r="O409" i="15"/>
  <c r="P409" i="15"/>
  <c r="L410" i="15"/>
  <c r="O410" i="15" s="1"/>
  <c r="M410" i="15"/>
  <c r="M408" i="15" s="1"/>
  <c r="P408" i="15" s="1"/>
  <c r="N410" i="15"/>
  <c r="N408" i="15" s="1"/>
  <c r="K412" i="15"/>
  <c r="K413" i="15"/>
  <c r="L420" i="15"/>
  <c r="M420" i="15"/>
  <c r="N420" i="15"/>
  <c r="O423" i="15"/>
  <c r="P423" i="15"/>
  <c r="L424" i="15"/>
  <c r="M424" i="15" s="1"/>
  <c r="M422" i="15" s="1"/>
  <c r="P422" i="15" s="1"/>
  <c r="N424" i="15"/>
  <c r="N422" i="15" s="1"/>
  <c r="M429" i="15"/>
  <c r="P429" i="15" s="1"/>
  <c r="N429" i="15"/>
  <c r="O430" i="15"/>
  <c r="P430" i="15"/>
  <c r="L431" i="15"/>
  <c r="O431" i="15" s="1"/>
  <c r="P431" i="15"/>
  <c r="J434" i="15"/>
  <c r="J418" i="15" s="1"/>
  <c r="I435" i="15"/>
  <c r="I433" i="15" s="1"/>
  <c r="I437" i="15"/>
  <c r="K437" i="15" s="1"/>
  <c r="I438" i="15"/>
  <c r="K438" i="15" s="1"/>
  <c r="I439" i="15"/>
  <c r="K439" i="15" s="1"/>
  <c r="I440" i="15"/>
  <c r="K440" i="15" s="1"/>
  <c r="I441" i="15"/>
  <c r="K441" i="15" s="1"/>
  <c r="J442" i="15"/>
  <c r="J443" i="15"/>
  <c r="L445" i="15"/>
  <c r="M445" i="15"/>
  <c r="P445" i="15" s="1"/>
  <c r="N445" i="15"/>
  <c r="N447" i="15"/>
  <c r="O448" i="15"/>
  <c r="P448" i="15"/>
  <c r="L449" i="15"/>
  <c r="L447" i="15" s="1"/>
  <c r="O447" i="15" s="1"/>
  <c r="N449" i="15"/>
  <c r="N446" i="15" s="1"/>
  <c r="M454" i="15"/>
  <c r="P454" i="15" s="1"/>
  <c r="N454" i="15"/>
  <c r="O455" i="15"/>
  <c r="P455" i="15"/>
  <c r="L456" i="15"/>
  <c r="O456" i="15" s="1"/>
  <c r="P456" i="15"/>
  <c r="K458" i="15"/>
  <c r="I460" i="15"/>
  <c r="I442" i="15" s="1"/>
  <c r="K442" i="15" s="1"/>
  <c r="I462" i="15"/>
  <c r="K462" i="15" s="1"/>
  <c r="I463" i="15"/>
  <c r="I464" i="15"/>
  <c r="I465" i="15"/>
  <c r="J465" i="15"/>
  <c r="I466" i="15"/>
  <c r="K466" i="15" s="1"/>
  <c r="J466" i="15"/>
  <c r="L468" i="15"/>
  <c r="O468" i="15" s="1"/>
  <c r="M468" i="15"/>
  <c r="N468" i="15"/>
  <c r="N467" i="15" s="1"/>
  <c r="P468" i="15"/>
  <c r="O471" i="15"/>
  <c r="P471" i="15"/>
  <c r="L472" i="15"/>
  <c r="N472" i="15"/>
  <c r="N469" i="15" s="1"/>
  <c r="M477" i="15"/>
  <c r="N477" i="15"/>
  <c r="P477" i="15"/>
  <c r="O478" i="15"/>
  <c r="P478" i="15"/>
  <c r="L479" i="15"/>
  <c r="L477" i="15" s="1"/>
  <c r="O477" i="15" s="1"/>
  <c r="P479" i="15"/>
  <c r="I483" i="15"/>
  <c r="K483" i="15" s="1"/>
  <c r="I485" i="15"/>
  <c r="K485" i="15" s="1"/>
  <c r="I487" i="15"/>
  <c r="K487" i="15" s="1"/>
  <c r="I489" i="15"/>
  <c r="K489" i="15" s="1"/>
  <c r="I492" i="15"/>
  <c r="K492" i="15" s="1"/>
  <c r="I495" i="15"/>
  <c r="K495" i="15" s="1"/>
  <c r="I498" i="15"/>
  <c r="K498" i="15" s="1"/>
  <c r="J500" i="15"/>
  <c r="K500" i="15"/>
  <c r="J501" i="15"/>
  <c r="K501" i="15"/>
  <c r="L503" i="15"/>
  <c r="O503" i="15" s="1"/>
  <c r="M503" i="15"/>
  <c r="P503" i="15" s="1"/>
  <c r="N503" i="15"/>
  <c r="L504" i="15"/>
  <c r="O504" i="15" s="1"/>
  <c r="M504" i="15"/>
  <c r="M502" i="15" s="1"/>
  <c r="P502" i="15" s="1"/>
  <c r="L505" i="15"/>
  <c r="M505" i="15"/>
  <c r="P505" i="15" s="1"/>
  <c r="O505" i="15"/>
  <c r="O506" i="15"/>
  <c r="P506" i="15"/>
  <c r="N507" i="15"/>
  <c r="N505" i="15" s="1"/>
  <c r="O507" i="15"/>
  <c r="P507" i="15"/>
  <c r="L512" i="15"/>
  <c r="O512" i="15" s="1"/>
  <c r="M512" i="15"/>
  <c r="P512" i="15" s="1"/>
  <c r="N512" i="15"/>
  <c r="O513" i="15"/>
  <c r="P513" i="15"/>
  <c r="O514" i="15"/>
  <c r="P514" i="15"/>
  <c r="K516" i="15"/>
  <c r="J517" i="15"/>
  <c r="K517" i="15"/>
  <c r="L524" i="15"/>
  <c r="O524" i="15" s="1"/>
  <c r="M524" i="15"/>
  <c r="M523" i="15" s="1"/>
  <c r="P523" i="15" s="1"/>
  <c r="N524" i="15"/>
  <c r="P524" i="15"/>
  <c r="M525" i="15"/>
  <c r="N525" i="15"/>
  <c r="N523" i="15" s="1"/>
  <c r="P525" i="15"/>
  <c r="M526" i="15"/>
  <c r="P526" i="15" s="1"/>
  <c r="O527" i="15"/>
  <c r="P527" i="15"/>
  <c r="L528" i="15"/>
  <c r="N528" i="15"/>
  <c r="N526" i="15" s="1"/>
  <c r="P528" i="15"/>
  <c r="M533" i="15"/>
  <c r="P533" i="15" s="1"/>
  <c r="N533" i="15"/>
  <c r="O534" i="15"/>
  <c r="P534" i="15"/>
  <c r="L535" i="15"/>
  <c r="L533" i="15" s="1"/>
  <c r="O533" i="15" s="1"/>
  <c r="P535" i="15"/>
  <c r="I537" i="15"/>
  <c r="I522" i="15" s="1"/>
  <c r="K522" i="15" s="1"/>
  <c r="I538" i="15"/>
  <c r="K538" i="15" s="1"/>
  <c r="I539" i="15"/>
  <c r="K539" i="15" s="1"/>
  <c r="I540" i="15"/>
  <c r="K540" i="15" s="1"/>
  <c r="I541" i="15"/>
  <c r="K541" i="15" s="1"/>
  <c r="I542" i="15"/>
  <c r="K542" i="15" s="1"/>
  <c r="L545" i="15"/>
  <c r="O545" i="15"/>
  <c r="O548" i="15"/>
  <c r="P548" i="15"/>
  <c r="L549" i="15"/>
  <c r="N549" i="15"/>
  <c r="N546" i="15" s="1"/>
  <c r="M555" i="15"/>
  <c r="P555" i="15" s="1"/>
  <c r="N555" i="15"/>
  <c r="N545" i="15" s="1"/>
  <c r="O556" i="15"/>
  <c r="P556" i="15"/>
  <c r="L557" i="15"/>
  <c r="L555" i="15" s="1"/>
  <c r="O555" i="15" s="1"/>
  <c r="P557" i="15"/>
  <c r="I560" i="15"/>
  <c r="K560" i="15" s="1"/>
  <c r="J560" i="15"/>
  <c r="I561" i="15"/>
  <c r="K561" i="15" s="1"/>
  <c r="J561" i="15"/>
  <c r="I568" i="15"/>
  <c r="K568" i="15" s="1"/>
  <c r="J568" i="15"/>
  <c r="I569" i="15"/>
  <c r="K569" i="15" s="1"/>
  <c r="J569" i="15"/>
  <c r="I576" i="15"/>
  <c r="I559" i="15" s="1"/>
  <c r="I577" i="15"/>
  <c r="K577" i="15" s="1"/>
  <c r="J582" i="15"/>
  <c r="J576" i="15" s="1"/>
  <c r="J559" i="15" s="1"/>
  <c r="J543" i="15" s="1"/>
  <c r="J583" i="15"/>
  <c r="J577" i="15" s="1"/>
  <c r="I593" i="15"/>
  <c r="I592" i="15" s="1"/>
  <c r="I594" i="15"/>
  <c r="J595" i="15"/>
  <c r="J596" i="15"/>
  <c r="J594" i="15" s="1"/>
  <c r="J603" i="15"/>
  <c r="J604" i="15"/>
  <c r="J611" i="15"/>
  <c r="K611" i="15"/>
  <c r="J612" i="15"/>
  <c r="K612" i="15"/>
  <c r="J613" i="15"/>
  <c r="K613" i="15"/>
  <c r="I620" i="15"/>
  <c r="K620" i="15" s="1"/>
  <c r="J620" i="15"/>
  <c r="I621" i="15"/>
  <c r="K621" i="15" s="1"/>
  <c r="J621" i="15"/>
  <c r="L630" i="15"/>
  <c r="O630" i="15" s="1"/>
  <c r="M630" i="15"/>
  <c r="N630" i="15"/>
  <c r="P630" i="15"/>
  <c r="O633" i="15"/>
  <c r="P633" i="15"/>
  <c r="L634" i="15"/>
  <c r="M634" i="15" s="1"/>
  <c r="M631" i="15" s="1"/>
  <c r="N634" i="15"/>
  <c r="N632" i="15" s="1"/>
  <c r="M639" i="15"/>
  <c r="P639" i="15" s="1"/>
  <c r="N639" i="15"/>
  <c r="O640" i="15"/>
  <c r="P640" i="15"/>
  <c r="L641" i="15"/>
  <c r="O641" i="15" s="1"/>
  <c r="P641" i="15"/>
  <c r="I643" i="15"/>
  <c r="K643" i="15" s="1"/>
  <c r="I644" i="15"/>
  <c r="K644" i="15" s="1"/>
  <c r="J645" i="15"/>
  <c r="K645" i="15"/>
  <c r="J646" i="15"/>
  <c r="K646" i="15"/>
  <c r="I647" i="15"/>
  <c r="J647" i="15"/>
  <c r="J648" i="15"/>
  <c r="K648" i="15"/>
  <c r="I649" i="15"/>
  <c r="J649" i="15"/>
  <c r="J650" i="15"/>
  <c r="K650" i="15"/>
  <c r="I651" i="15"/>
  <c r="I628" i="15" s="1"/>
  <c r="J651" i="15"/>
  <c r="A652" i="15"/>
  <c r="J652" i="15"/>
  <c r="K652" i="15"/>
  <c r="L656" i="15"/>
  <c r="M656" i="15"/>
  <c r="M655" i="15" s="1"/>
  <c r="P655" i="15" s="1"/>
  <c r="N656" i="15"/>
  <c r="M657" i="15"/>
  <c r="P657" i="15" s="1"/>
  <c r="M658" i="15"/>
  <c r="P658" i="15" s="1"/>
  <c r="O659" i="15"/>
  <c r="P659" i="15"/>
  <c r="L660" i="15"/>
  <c r="L658" i="15" s="1"/>
  <c r="O658" i="15" s="1"/>
  <c r="N660" i="15"/>
  <c r="N657" i="15" s="1"/>
  <c r="N655" i="15" s="1"/>
  <c r="P660" i="15"/>
  <c r="L665" i="15"/>
  <c r="O665" i="15" s="1"/>
  <c r="M665" i="15"/>
  <c r="P665" i="15" s="1"/>
  <c r="N665" i="15"/>
  <c r="O666" i="15"/>
  <c r="P666" i="15"/>
  <c r="O667" i="15"/>
  <c r="P667" i="15"/>
  <c r="I669" i="15"/>
  <c r="I654" i="15" s="1"/>
  <c r="K654" i="15" s="1"/>
  <c r="I670" i="15"/>
  <c r="K670" i="15" s="1"/>
  <c r="I671" i="15"/>
  <c r="K671" i="15" s="1"/>
  <c r="J675" i="15"/>
  <c r="J669" i="15" s="1"/>
  <c r="J654" i="15" s="1"/>
  <c r="I678" i="15"/>
  <c r="K678" i="15" s="1"/>
  <c r="J679" i="15"/>
  <c r="J678" i="15" s="1"/>
  <c r="L686" i="15"/>
  <c r="O686" i="15" s="1"/>
  <c r="M686" i="15"/>
  <c r="N686" i="15"/>
  <c r="M687" i="15"/>
  <c r="P687" i="15" s="1"/>
  <c r="M688" i="15"/>
  <c r="P688" i="15" s="1"/>
  <c r="L690" i="15"/>
  <c r="L688" i="15" s="1"/>
  <c r="O688" i="15" s="1"/>
  <c r="N690" i="15"/>
  <c r="N688" i="15" s="1"/>
  <c r="P690" i="15"/>
  <c r="L695" i="15"/>
  <c r="O695" i="15" s="1"/>
  <c r="M695" i="15"/>
  <c r="P695" i="15" s="1"/>
  <c r="N695" i="15"/>
  <c r="O696" i="15"/>
  <c r="P696" i="15"/>
  <c r="O697" i="15"/>
  <c r="P697" i="15"/>
  <c r="I699" i="15"/>
  <c r="K699" i="15" s="1"/>
  <c r="J699" i="15"/>
  <c r="I700" i="15"/>
  <c r="K700" i="15" s="1"/>
  <c r="J700" i="15"/>
  <c r="I701" i="15"/>
  <c r="K701" i="15" s="1"/>
  <c r="J701" i="15"/>
  <c r="I704" i="15"/>
  <c r="I707" i="15"/>
  <c r="I708" i="15"/>
  <c r="K708" i="15" s="1"/>
  <c r="J708" i="15"/>
  <c r="J718" i="15"/>
  <c r="J719" i="15"/>
  <c r="I720" i="15"/>
  <c r="K720" i="15" s="1"/>
  <c r="J720" i="15"/>
  <c r="I721" i="15"/>
  <c r="K721" i="15" s="1"/>
  <c r="I722" i="15"/>
  <c r="K722" i="15" s="1"/>
  <c r="I723" i="15"/>
  <c r="K723" i="15" s="1"/>
  <c r="J723" i="15"/>
  <c r="J724" i="15"/>
  <c r="I725" i="15"/>
  <c r="K725" i="15" s="1"/>
  <c r="J725" i="15"/>
  <c r="I726" i="15"/>
  <c r="K726" i="15" s="1"/>
  <c r="J726" i="15"/>
  <c r="J727" i="15"/>
  <c r="I728" i="15"/>
  <c r="K728" i="15" s="1"/>
  <c r="J728" i="15"/>
  <c r="I729" i="15"/>
  <c r="K729" i="15" s="1"/>
  <c r="J729" i="15"/>
  <c r="J736" i="15"/>
  <c r="K736" i="15"/>
  <c r="L737" i="15"/>
  <c r="O737" i="15" s="1"/>
  <c r="L738" i="15"/>
  <c r="M738" i="15"/>
  <c r="P738" i="15" s="1"/>
  <c r="N738" i="15"/>
  <c r="O738" i="15"/>
  <c r="L739" i="15"/>
  <c r="O739" i="15" s="1"/>
  <c r="M739" i="15"/>
  <c r="P739" i="15" s="1"/>
  <c r="L740" i="15"/>
  <c r="O740" i="15" s="1"/>
  <c r="M740" i="15"/>
  <c r="P740" i="15" s="1"/>
  <c r="O741" i="15"/>
  <c r="P741" i="15"/>
  <c r="N742" i="15"/>
  <c r="N740" i="15" s="1"/>
  <c r="O742" i="15"/>
  <c r="P742" i="15"/>
  <c r="L747" i="15"/>
  <c r="O747" i="15" s="1"/>
  <c r="M747" i="15"/>
  <c r="P747" i="15" s="1"/>
  <c r="N747" i="15"/>
  <c r="O748" i="15"/>
  <c r="P748" i="15"/>
  <c r="O749" i="15"/>
  <c r="P749" i="15"/>
  <c r="J753" i="15"/>
  <c r="K753" i="15"/>
  <c r="L755" i="15"/>
  <c r="O755" i="15" s="1"/>
  <c r="M755" i="15"/>
  <c r="N755" i="15"/>
  <c r="P755" i="15"/>
  <c r="L756" i="15"/>
  <c r="M756" i="15"/>
  <c r="P756" i="15" s="1"/>
  <c r="L757" i="15"/>
  <c r="O757" i="15" s="1"/>
  <c r="M757" i="15"/>
  <c r="P757" i="15" s="1"/>
  <c r="O758" i="15"/>
  <c r="P758" i="15"/>
  <c r="N759" i="15"/>
  <c r="N757" i="15" s="1"/>
  <c r="O759" i="15"/>
  <c r="P759" i="15"/>
  <c r="L764" i="15"/>
  <c r="O764" i="15" s="1"/>
  <c r="M764" i="15"/>
  <c r="P764" i="15" s="1"/>
  <c r="N764" i="15"/>
  <c r="O765" i="15"/>
  <c r="P765" i="15"/>
  <c r="O766" i="15"/>
  <c r="P766" i="15"/>
  <c r="J769" i="15"/>
  <c r="K769" i="15"/>
  <c r="M770" i="15"/>
  <c r="P770" i="15" s="1"/>
  <c r="L771" i="15"/>
  <c r="O771" i="15" s="1"/>
  <c r="M771" i="15"/>
  <c r="P771" i="15" s="1"/>
  <c r="N771" i="15"/>
  <c r="L772" i="15"/>
  <c r="L770" i="15" s="1"/>
  <c r="O770" i="15" s="1"/>
  <c r="M772" i="15"/>
  <c r="N772" i="15"/>
  <c r="P772" i="15"/>
  <c r="L773" i="15"/>
  <c r="M773" i="15"/>
  <c r="P773" i="15" s="1"/>
  <c r="O773" i="15"/>
  <c r="O774" i="15"/>
  <c r="P774" i="15"/>
  <c r="N775" i="15"/>
  <c r="N773" i="15" s="1"/>
  <c r="O775" i="15"/>
  <c r="P775" i="15"/>
  <c r="L780" i="15"/>
  <c r="O780" i="15" s="1"/>
  <c r="M780" i="15"/>
  <c r="P780" i="15" s="1"/>
  <c r="N780" i="15"/>
  <c r="O781" i="15"/>
  <c r="P781" i="15"/>
  <c r="O782" i="15"/>
  <c r="P782" i="15"/>
  <c r="L787" i="15"/>
  <c r="M787" i="15"/>
  <c r="M786" i="15" s="1"/>
  <c r="P786" i="15" s="1"/>
  <c r="N787" i="15"/>
  <c r="P787" i="15"/>
  <c r="M788" i="15"/>
  <c r="P788" i="15"/>
  <c r="M789" i="15"/>
  <c r="P789" i="15" s="1"/>
  <c r="O790" i="15"/>
  <c r="P790" i="15"/>
  <c r="L791" i="15"/>
  <c r="L788" i="15" s="1"/>
  <c r="O788" i="15" s="1"/>
  <c r="N791" i="15"/>
  <c r="N789" i="15" s="1"/>
  <c r="P791" i="15"/>
  <c r="L796" i="15"/>
  <c r="O796" i="15" s="1"/>
  <c r="M796" i="15"/>
  <c r="P796" i="15" s="1"/>
  <c r="N796" i="15"/>
  <c r="O797" i="15"/>
  <c r="P797" i="15"/>
  <c r="O798" i="15"/>
  <c r="P798" i="15"/>
  <c r="I800" i="15"/>
  <c r="I785" i="15" s="1"/>
  <c r="K785" i="15" s="1"/>
  <c r="J800" i="15"/>
  <c r="J785" i="15" s="1"/>
  <c r="J801" i="15"/>
  <c r="K802" i="15"/>
  <c r="J804" i="15"/>
  <c r="K804" i="15"/>
  <c r="L806" i="15"/>
  <c r="M806" i="15"/>
  <c r="M805" i="15" s="1"/>
  <c r="P805" i="15" s="1"/>
  <c r="N806" i="15"/>
  <c r="N805" i="15" s="1"/>
  <c r="L807" i="15"/>
  <c r="O807" i="15" s="1"/>
  <c r="M807" i="15"/>
  <c r="P807" i="15" s="1"/>
  <c r="N807" i="15"/>
  <c r="L808" i="15"/>
  <c r="O808" i="15" s="1"/>
  <c r="M808" i="15"/>
  <c r="N808" i="15"/>
  <c r="P808" i="15"/>
  <c r="O809" i="15"/>
  <c r="P809" i="15"/>
  <c r="N810" i="15"/>
  <c r="O810" i="15"/>
  <c r="P810" i="15"/>
  <c r="L815" i="15"/>
  <c r="O815" i="15" s="1"/>
  <c r="M815" i="15"/>
  <c r="P815" i="15" s="1"/>
  <c r="N815" i="15"/>
  <c r="O816" i="15"/>
  <c r="P816" i="15"/>
  <c r="O817" i="15"/>
  <c r="P817" i="15"/>
  <c r="H820" i="15"/>
  <c r="I821" i="15"/>
  <c r="J821" i="15"/>
  <c r="I822" i="15"/>
  <c r="J822" i="15"/>
  <c r="I823" i="15"/>
  <c r="J823" i="15"/>
  <c r="I824" i="15"/>
  <c r="J824" i="15"/>
  <c r="I825" i="15"/>
  <c r="K825" i="15" s="1"/>
  <c r="J825" i="15"/>
  <c r="I826" i="15"/>
  <c r="K826" i="15" s="1"/>
  <c r="J826" i="15"/>
  <c r="I827" i="15"/>
  <c r="J827" i="15"/>
  <c r="I828" i="15"/>
  <c r="J828" i="15"/>
  <c r="L22" i="14"/>
  <c r="O22" i="14" s="1"/>
  <c r="M22" i="14"/>
  <c r="N22" i="14"/>
  <c r="N12" i="14" s="1"/>
  <c r="L25" i="14"/>
  <c r="M25" i="14"/>
  <c r="N25" i="14"/>
  <c r="P25" i="14"/>
  <c r="L32" i="14"/>
  <c r="M32" i="14"/>
  <c r="P32" i="14" s="1"/>
  <c r="N32" i="14"/>
  <c r="L35" i="14"/>
  <c r="L15" i="14" s="1"/>
  <c r="M35" i="14"/>
  <c r="M29" i="14" s="1"/>
  <c r="N35" i="14"/>
  <c r="N15" i="14" s="1"/>
  <c r="M36" i="14"/>
  <c r="N36" i="14"/>
  <c r="L42" i="14"/>
  <c r="O42" i="14" s="1"/>
  <c r="M42" i="14"/>
  <c r="P42" i="14" s="1"/>
  <c r="N42" i="14"/>
  <c r="O45" i="14"/>
  <c r="P45" i="14"/>
  <c r="L46" i="14"/>
  <c r="M46" i="14"/>
  <c r="M44" i="14" s="1"/>
  <c r="N46" i="14"/>
  <c r="O48" i="14"/>
  <c r="P48" i="14"/>
  <c r="L49" i="14"/>
  <c r="O49" i="14" s="1"/>
  <c r="M49" i="14"/>
  <c r="M47" i="14" s="1"/>
  <c r="P47" i="14" s="1"/>
  <c r="N49" i="14"/>
  <c r="L54" i="14"/>
  <c r="M54" i="14"/>
  <c r="P54" i="14" s="1"/>
  <c r="N54" i="14"/>
  <c r="O54" i="14"/>
  <c r="O57" i="14"/>
  <c r="P57" i="14"/>
  <c r="L58" i="14"/>
  <c r="M58" i="14"/>
  <c r="M56" i="14" s="1"/>
  <c r="N58" i="14"/>
  <c r="O60" i="14"/>
  <c r="P60" i="14"/>
  <c r="L61" i="14"/>
  <c r="L59" i="14" s="1"/>
  <c r="M61" i="14"/>
  <c r="M59" i="14" s="1"/>
  <c r="N61" i="14"/>
  <c r="L67" i="14"/>
  <c r="O67" i="14" s="1"/>
  <c r="M67" i="14"/>
  <c r="P67" i="14" s="1"/>
  <c r="N67" i="14"/>
  <c r="O70" i="14"/>
  <c r="P70" i="14"/>
  <c r="L71" i="14"/>
  <c r="L69" i="14" s="1"/>
  <c r="O69" i="14" s="1"/>
  <c r="M71" i="14"/>
  <c r="M69" i="14" s="1"/>
  <c r="P69" i="14" s="1"/>
  <c r="N71" i="14"/>
  <c r="N69" i="14" s="1"/>
  <c r="O73" i="14"/>
  <c r="P73" i="14"/>
  <c r="L74" i="14"/>
  <c r="L72" i="14" s="1"/>
  <c r="O72" i="14" s="1"/>
  <c r="M74" i="14"/>
  <c r="M72" i="14" s="1"/>
  <c r="P72" i="14" s="1"/>
  <c r="N74" i="14"/>
  <c r="N72" i="14" s="1"/>
  <c r="J76" i="14"/>
  <c r="J64" i="14" s="1"/>
  <c r="J77" i="14"/>
  <c r="J65" i="14" s="1"/>
  <c r="I78" i="14"/>
  <c r="K78" i="14" s="1"/>
  <c r="I79" i="14"/>
  <c r="I80" i="14"/>
  <c r="K80" i="14" s="1"/>
  <c r="I81" i="14"/>
  <c r="K81" i="14" s="1"/>
  <c r="I82" i="14"/>
  <c r="K82" i="14" s="1"/>
  <c r="I83" i="14"/>
  <c r="K83" i="14" s="1"/>
  <c r="I84" i="14"/>
  <c r="K84" i="14" s="1"/>
  <c r="L89" i="14"/>
  <c r="O89" i="14" s="1"/>
  <c r="M89" i="14"/>
  <c r="N89" i="14"/>
  <c r="P89" i="14"/>
  <c r="O92" i="14"/>
  <c r="P92" i="14"/>
  <c r="L93" i="14"/>
  <c r="L91" i="14" s="1"/>
  <c r="M93" i="14"/>
  <c r="M91" i="14" s="1"/>
  <c r="N93" i="14"/>
  <c r="N91" i="14" s="1"/>
  <c r="O95" i="14"/>
  <c r="P95" i="14"/>
  <c r="L96" i="14"/>
  <c r="M96" i="14"/>
  <c r="P96" i="14" s="1"/>
  <c r="N96" i="14"/>
  <c r="N94" i="14" s="1"/>
  <c r="I98" i="14"/>
  <c r="J98" i="14"/>
  <c r="J86" i="14" s="1"/>
  <c r="I99" i="14"/>
  <c r="I87" i="14" s="1"/>
  <c r="J99" i="14"/>
  <c r="J87" i="14" s="1"/>
  <c r="I100" i="14"/>
  <c r="K100" i="14" s="1"/>
  <c r="J100" i="14"/>
  <c r="I102" i="14"/>
  <c r="K102" i="14" s="1"/>
  <c r="I103" i="14"/>
  <c r="K103" i="14" s="1"/>
  <c r="I104" i="14"/>
  <c r="K104" i="14" s="1"/>
  <c r="I106" i="14"/>
  <c r="K106" i="14" s="1"/>
  <c r="I107" i="14"/>
  <c r="K107" i="14" s="1"/>
  <c r="I109" i="14"/>
  <c r="K109" i="14" s="1"/>
  <c r="I110" i="14"/>
  <c r="K110" i="14" s="1"/>
  <c r="I111" i="14"/>
  <c r="K111" i="14" s="1"/>
  <c r="J111" i="14"/>
  <c r="J112" i="14"/>
  <c r="I113" i="14"/>
  <c r="K113" i="14" s="1"/>
  <c r="I114" i="14"/>
  <c r="K114" i="14" s="1"/>
  <c r="I115" i="14"/>
  <c r="K115" i="14" s="1"/>
  <c r="I116" i="14"/>
  <c r="K116" i="14" s="1"/>
  <c r="L120" i="14"/>
  <c r="O120" i="14" s="1"/>
  <c r="M120" i="14"/>
  <c r="N120" i="14"/>
  <c r="O123" i="14"/>
  <c r="P123" i="14"/>
  <c r="L124" i="14"/>
  <c r="O124" i="14" s="1"/>
  <c r="M124" i="14"/>
  <c r="N124" i="14"/>
  <c r="N122" i="14" s="1"/>
  <c r="O126" i="14"/>
  <c r="P126" i="14"/>
  <c r="L127" i="14"/>
  <c r="L125" i="14" s="1"/>
  <c r="O125" i="14" s="1"/>
  <c r="M127" i="14"/>
  <c r="N127" i="14"/>
  <c r="N125" i="14" s="1"/>
  <c r="J130" i="14"/>
  <c r="L133" i="14"/>
  <c r="M133" i="14"/>
  <c r="P133" i="14" s="1"/>
  <c r="N133" i="14"/>
  <c r="O133" i="14"/>
  <c r="O136" i="14"/>
  <c r="P136" i="14"/>
  <c r="L137" i="14"/>
  <c r="M137" i="14"/>
  <c r="M135" i="14" s="1"/>
  <c r="P135" i="14" s="1"/>
  <c r="N137" i="14"/>
  <c r="N135" i="14" s="1"/>
  <c r="O139" i="14"/>
  <c r="P139" i="14"/>
  <c r="L140" i="14"/>
  <c r="O140" i="14" s="1"/>
  <c r="M140" i="14"/>
  <c r="M138" i="14" s="1"/>
  <c r="P138" i="14" s="1"/>
  <c r="N140" i="14"/>
  <c r="N138" i="14" s="1"/>
  <c r="I144" i="14"/>
  <c r="I145" i="14"/>
  <c r="K145" i="14" s="1"/>
  <c r="I146" i="14"/>
  <c r="I130" i="14" s="1"/>
  <c r="K130" i="14" s="1"/>
  <c r="J148" i="14"/>
  <c r="L150" i="14"/>
  <c r="O150" i="14" s="1"/>
  <c r="M150" i="14"/>
  <c r="N150" i="14"/>
  <c r="O153" i="14"/>
  <c r="P153" i="14"/>
  <c r="L154" i="14"/>
  <c r="L152" i="14" s="1"/>
  <c r="M154" i="14"/>
  <c r="N154" i="14"/>
  <c r="O156" i="14"/>
  <c r="P156" i="14"/>
  <c r="L157" i="14"/>
  <c r="O157" i="14" s="1"/>
  <c r="M157" i="14"/>
  <c r="N157" i="14"/>
  <c r="N155" i="14" s="1"/>
  <c r="I159" i="14"/>
  <c r="K159" i="14" s="1"/>
  <c r="L166" i="14"/>
  <c r="O166" i="14" s="1"/>
  <c r="M166" i="14"/>
  <c r="P166" i="14" s="1"/>
  <c r="N166" i="14"/>
  <c r="O169" i="14"/>
  <c r="P169" i="14"/>
  <c r="L170" i="14"/>
  <c r="L168" i="14" s="1"/>
  <c r="M170" i="14"/>
  <c r="M168" i="14" s="1"/>
  <c r="N170" i="14"/>
  <c r="N168" i="14" s="1"/>
  <c r="O172" i="14"/>
  <c r="P172" i="14"/>
  <c r="L173" i="14"/>
  <c r="L171" i="14" s="1"/>
  <c r="O171" i="14" s="1"/>
  <c r="M173" i="14"/>
  <c r="P173" i="14" s="1"/>
  <c r="N173" i="14"/>
  <c r="N171" i="14" s="1"/>
  <c r="J174" i="14"/>
  <c r="I176" i="14"/>
  <c r="I174" i="14" s="1"/>
  <c r="K174" i="14" s="1"/>
  <c r="J177" i="14"/>
  <c r="L182" i="14"/>
  <c r="M182" i="14"/>
  <c r="N182" i="14"/>
  <c r="P182" i="14"/>
  <c r="O185" i="14"/>
  <c r="P185" i="14"/>
  <c r="L186" i="14"/>
  <c r="M186" i="14"/>
  <c r="M184" i="14" s="1"/>
  <c r="N186" i="14"/>
  <c r="N184" i="14" s="1"/>
  <c r="O188" i="14"/>
  <c r="P188" i="14"/>
  <c r="L189" i="14"/>
  <c r="L187" i="14" s="1"/>
  <c r="O187" i="14" s="1"/>
  <c r="M189" i="14"/>
  <c r="P189" i="14" s="1"/>
  <c r="N189" i="14"/>
  <c r="N187" i="14" s="1"/>
  <c r="J190" i="14"/>
  <c r="L191" i="14"/>
  <c r="O191" i="14" s="1"/>
  <c r="P191" i="14"/>
  <c r="I193" i="14"/>
  <c r="J194" i="14"/>
  <c r="J197" i="14"/>
  <c r="N198" i="14"/>
  <c r="P198" i="14"/>
  <c r="L199" i="14"/>
  <c r="L200" i="14"/>
  <c r="L201" i="14"/>
  <c r="L202" i="14"/>
  <c r="I204" i="14"/>
  <c r="I197" i="14" s="1"/>
  <c r="K197" i="14" s="1"/>
  <c r="K206" i="14"/>
  <c r="K207" i="14"/>
  <c r="J208" i="14"/>
  <c r="N209" i="14"/>
  <c r="P209" i="14"/>
  <c r="L210" i="14"/>
  <c r="L211" i="14"/>
  <c r="L212" i="14"/>
  <c r="I214" i="14"/>
  <c r="K214" i="14" s="1"/>
  <c r="I215" i="14"/>
  <c r="I208" i="14" s="1"/>
  <c r="K208" i="14" s="1"/>
  <c r="J216" i="14"/>
  <c r="N217" i="14"/>
  <c r="P217" i="14"/>
  <c r="L218" i="14"/>
  <c r="L219" i="14"/>
  <c r="L220" i="14"/>
  <c r="I223" i="14"/>
  <c r="K223" i="14" s="1"/>
  <c r="I224" i="14"/>
  <c r="I216" i="14" s="1"/>
  <c r="K216" i="14" s="1"/>
  <c r="I225" i="14"/>
  <c r="K225" i="14" s="1"/>
  <c r="N228" i="14"/>
  <c r="N229" i="14"/>
  <c r="N230" i="14"/>
  <c r="N231" i="14"/>
  <c r="J233" i="14"/>
  <c r="I235" i="14"/>
  <c r="K235" i="14" s="1"/>
  <c r="J235" i="14"/>
  <c r="I236" i="14"/>
  <c r="K236" i="14" s="1"/>
  <c r="J236" i="14"/>
  <c r="J237" i="14"/>
  <c r="J226" i="14" s="1"/>
  <c r="J180" i="14" s="1"/>
  <c r="N238" i="14"/>
  <c r="N227" i="14" s="1"/>
  <c r="P238" i="14"/>
  <c r="L239" i="14"/>
  <c r="L240" i="14"/>
  <c r="L241" i="14"/>
  <c r="L242" i="14"/>
  <c r="I244" i="14"/>
  <c r="I237" i="14" s="1"/>
  <c r="K237" i="14" s="1"/>
  <c r="K246" i="14"/>
  <c r="K247" i="14"/>
  <c r="J248" i="14"/>
  <c r="N249" i="14"/>
  <c r="P249" i="14"/>
  <c r="L250" i="14"/>
  <c r="L251" i="14"/>
  <c r="L252" i="14"/>
  <c r="L253" i="14"/>
  <c r="I255" i="14"/>
  <c r="I248" i="14" s="1"/>
  <c r="K248" i="14" s="1"/>
  <c r="K257" i="14"/>
  <c r="K258" i="14"/>
  <c r="J260" i="14"/>
  <c r="L262" i="14"/>
  <c r="O262" i="14" s="1"/>
  <c r="M262" i="14"/>
  <c r="N262" i="14"/>
  <c r="P262" i="14"/>
  <c r="O265" i="14"/>
  <c r="P265" i="14"/>
  <c r="L266" i="14"/>
  <c r="L264" i="14" s="1"/>
  <c r="M266" i="14"/>
  <c r="N266" i="14"/>
  <c r="O268" i="14"/>
  <c r="P268" i="14"/>
  <c r="L269" i="14"/>
  <c r="O269" i="14" s="1"/>
  <c r="M269" i="14"/>
  <c r="N269" i="14"/>
  <c r="I271" i="14"/>
  <c r="K271" i="14" s="1"/>
  <c r="J276" i="14"/>
  <c r="L278" i="14"/>
  <c r="O278" i="14" s="1"/>
  <c r="M278" i="14"/>
  <c r="P278" i="14" s="1"/>
  <c r="N278" i="14"/>
  <c r="O281" i="14"/>
  <c r="P281" i="14"/>
  <c r="L282" i="14"/>
  <c r="L280" i="14" s="1"/>
  <c r="O280" i="14" s="1"/>
  <c r="M282" i="14"/>
  <c r="P282" i="14" s="1"/>
  <c r="N282" i="14"/>
  <c r="N280" i="14" s="1"/>
  <c r="O284" i="14"/>
  <c r="P284" i="14"/>
  <c r="L285" i="14"/>
  <c r="O285" i="14" s="1"/>
  <c r="M285" i="14"/>
  <c r="M283" i="14" s="1"/>
  <c r="P283" i="14" s="1"/>
  <c r="N285" i="14"/>
  <c r="I287" i="14"/>
  <c r="I288" i="14"/>
  <c r="I275" i="14" s="1"/>
  <c r="K275" i="14" s="1"/>
  <c r="I290" i="14"/>
  <c r="K290" i="14" s="1"/>
  <c r="I291" i="14"/>
  <c r="K291" i="14" s="1"/>
  <c r="I293" i="14"/>
  <c r="K293" i="14" s="1"/>
  <c r="I294" i="14"/>
  <c r="K294" i="14" s="1"/>
  <c r="J297" i="14"/>
  <c r="L299" i="14"/>
  <c r="M299" i="14"/>
  <c r="P299" i="14" s="1"/>
  <c r="N299" i="14"/>
  <c r="O299" i="14"/>
  <c r="O302" i="14"/>
  <c r="P302" i="14"/>
  <c r="L303" i="14"/>
  <c r="M303" i="14"/>
  <c r="M301" i="14" s="1"/>
  <c r="P301" i="14" s="1"/>
  <c r="N303" i="14"/>
  <c r="O305" i="14"/>
  <c r="P305" i="14"/>
  <c r="L306" i="14"/>
  <c r="L304" i="14" s="1"/>
  <c r="O304" i="14" s="1"/>
  <c r="M306" i="14"/>
  <c r="M304" i="14" s="1"/>
  <c r="P304" i="14" s="1"/>
  <c r="N306" i="14"/>
  <c r="N304" i="14" s="1"/>
  <c r="I309" i="14"/>
  <c r="I297" i="14" s="1"/>
  <c r="K297" i="14" s="1"/>
  <c r="I310" i="14"/>
  <c r="K310" i="14" s="1"/>
  <c r="I311" i="14"/>
  <c r="K311" i="14" s="1"/>
  <c r="I312" i="14"/>
  <c r="K312" i="14" s="1"/>
  <c r="J314" i="14"/>
  <c r="L316" i="14"/>
  <c r="O316" i="14" s="1"/>
  <c r="M316" i="14"/>
  <c r="N316" i="14"/>
  <c r="O319" i="14"/>
  <c r="P319" i="14"/>
  <c r="L320" i="14"/>
  <c r="O320" i="14" s="1"/>
  <c r="M320" i="14"/>
  <c r="P320" i="14" s="1"/>
  <c r="N320" i="14"/>
  <c r="N318" i="14" s="1"/>
  <c r="O322" i="14"/>
  <c r="P322" i="14"/>
  <c r="L323" i="14"/>
  <c r="O323" i="14" s="1"/>
  <c r="M323" i="14"/>
  <c r="P323" i="14" s="1"/>
  <c r="N323" i="14"/>
  <c r="N321" i="14" s="1"/>
  <c r="I325" i="14"/>
  <c r="I314" i="14" s="1"/>
  <c r="K314" i="14" s="1"/>
  <c r="I327" i="14"/>
  <c r="L329" i="14"/>
  <c r="M329" i="14"/>
  <c r="P329" i="14" s="1"/>
  <c r="N329" i="14"/>
  <c r="O329" i="14"/>
  <c r="O332" i="14"/>
  <c r="P332" i="14"/>
  <c r="L333" i="14"/>
  <c r="M333" i="14"/>
  <c r="M331" i="14" s="1"/>
  <c r="N333" i="14"/>
  <c r="N331" i="14" s="1"/>
  <c r="O335" i="14"/>
  <c r="P335" i="14"/>
  <c r="L336" i="14"/>
  <c r="M336" i="14"/>
  <c r="M334" i="14" s="1"/>
  <c r="P334" i="14" s="1"/>
  <c r="N336" i="14"/>
  <c r="N334" i="14" s="1"/>
  <c r="D337" i="14"/>
  <c r="I338" i="14"/>
  <c r="J338" i="14"/>
  <c r="I340" i="14"/>
  <c r="J340" i="14"/>
  <c r="J341" i="14"/>
  <c r="J342" i="14"/>
  <c r="J343" i="14"/>
  <c r="L346" i="14"/>
  <c r="M346" i="14"/>
  <c r="P346" i="14" s="1"/>
  <c r="N346" i="14"/>
  <c r="O346" i="14"/>
  <c r="O349" i="14"/>
  <c r="P349" i="14"/>
  <c r="L350" i="14"/>
  <c r="M350" i="14"/>
  <c r="M348" i="14" s="1"/>
  <c r="N350" i="14"/>
  <c r="N348" i="14" s="1"/>
  <c r="O352" i="14"/>
  <c r="P352" i="14"/>
  <c r="L353" i="14"/>
  <c r="L351" i="14" s="1"/>
  <c r="M353" i="14"/>
  <c r="M351" i="14" s="1"/>
  <c r="N353" i="14"/>
  <c r="N351" i="14" s="1"/>
  <c r="I355" i="14"/>
  <c r="J358" i="14"/>
  <c r="K358" i="14"/>
  <c r="I359" i="14"/>
  <c r="J359" i="14"/>
  <c r="I360" i="14"/>
  <c r="J360" i="14"/>
  <c r="J361" i="14"/>
  <c r="K361" i="14"/>
  <c r="I362" i="14"/>
  <c r="J362" i="14"/>
  <c r="J355" i="14" s="1"/>
  <c r="J363" i="14"/>
  <c r="K363" i="14"/>
  <c r="I365" i="14"/>
  <c r="J368" i="14"/>
  <c r="K368" i="14"/>
  <c r="I369" i="14"/>
  <c r="J369" i="14"/>
  <c r="I370" i="14"/>
  <c r="J370" i="14"/>
  <c r="J371" i="14"/>
  <c r="K371" i="14"/>
  <c r="I372" i="14"/>
  <c r="J372" i="14"/>
  <c r="J365" i="14" s="1"/>
  <c r="A373" i="14"/>
  <c r="J373" i="14"/>
  <c r="K373" i="14"/>
  <c r="I374" i="14"/>
  <c r="J377" i="14"/>
  <c r="K377" i="14"/>
  <c r="I378" i="14"/>
  <c r="J378" i="14"/>
  <c r="I379" i="14"/>
  <c r="J379" i="14"/>
  <c r="J380" i="14"/>
  <c r="K380" i="14"/>
  <c r="I381" i="14"/>
  <c r="J381" i="14"/>
  <c r="J374" i="14" s="1"/>
  <c r="A382" i="14"/>
  <c r="J382" i="14"/>
  <c r="K382" i="14"/>
  <c r="D384" i="14"/>
  <c r="I385" i="14"/>
  <c r="J385" i="14"/>
  <c r="I388" i="14"/>
  <c r="J388" i="14"/>
  <c r="K388" i="14"/>
  <c r="L390" i="14"/>
  <c r="O390" i="14" s="1"/>
  <c r="M390" i="14"/>
  <c r="N390" i="14"/>
  <c r="O393" i="14"/>
  <c r="P393" i="14"/>
  <c r="L394" i="14"/>
  <c r="L392" i="14" s="1"/>
  <c r="O392" i="14" s="1"/>
  <c r="M394" i="14"/>
  <c r="P394" i="14" s="1"/>
  <c r="N394" i="14"/>
  <c r="N392" i="14" s="1"/>
  <c r="O396" i="14"/>
  <c r="P396" i="14"/>
  <c r="L397" i="14"/>
  <c r="L395" i="14" s="1"/>
  <c r="O395" i="14" s="1"/>
  <c r="M397" i="14"/>
  <c r="P397" i="14" s="1"/>
  <c r="N397" i="14"/>
  <c r="N395" i="14" s="1"/>
  <c r="K399" i="14"/>
  <c r="K400" i="14"/>
  <c r="I401" i="14"/>
  <c r="K401" i="14" s="1"/>
  <c r="J401" i="14"/>
  <c r="L403" i="14"/>
  <c r="M403" i="14"/>
  <c r="N403" i="14"/>
  <c r="P403" i="14"/>
  <c r="O406" i="14"/>
  <c r="P406" i="14"/>
  <c r="L407" i="14"/>
  <c r="M407" i="14"/>
  <c r="M405" i="14" s="1"/>
  <c r="P405" i="14" s="1"/>
  <c r="N407" i="14"/>
  <c r="O409" i="14"/>
  <c r="P409" i="14"/>
  <c r="L410" i="14"/>
  <c r="M410" i="14"/>
  <c r="P410" i="14" s="1"/>
  <c r="N410" i="14"/>
  <c r="N408" i="14" s="1"/>
  <c r="K412" i="14"/>
  <c r="K413" i="14"/>
  <c r="L420" i="14"/>
  <c r="O420" i="14" s="1"/>
  <c r="M420" i="14"/>
  <c r="N420" i="14"/>
  <c r="O423" i="14"/>
  <c r="P423" i="14"/>
  <c r="L424" i="14"/>
  <c r="M424" i="14" s="1"/>
  <c r="N424" i="14"/>
  <c r="M429" i="14"/>
  <c r="P429" i="14" s="1"/>
  <c r="N429" i="14"/>
  <c r="O430" i="14"/>
  <c r="P430" i="14"/>
  <c r="L431" i="14"/>
  <c r="O431" i="14" s="1"/>
  <c r="P431" i="14"/>
  <c r="J434" i="14"/>
  <c r="J418" i="14" s="1"/>
  <c r="I435" i="14"/>
  <c r="I433" i="14" s="1"/>
  <c r="I417" i="14" s="1"/>
  <c r="I437" i="14"/>
  <c r="K437" i="14" s="1"/>
  <c r="I438" i="14"/>
  <c r="I439" i="14"/>
  <c r="K439" i="14" s="1"/>
  <c r="I440" i="14"/>
  <c r="K440" i="14" s="1"/>
  <c r="I441" i="14"/>
  <c r="K441" i="14" s="1"/>
  <c r="J442" i="14"/>
  <c r="J443" i="14"/>
  <c r="L445" i="14"/>
  <c r="M445" i="14"/>
  <c r="N445" i="14"/>
  <c r="M446" i="14"/>
  <c r="P446" i="14" s="1"/>
  <c r="M447" i="14"/>
  <c r="P447" i="14" s="1"/>
  <c r="O448" i="14"/>
  <c r="P448" i="14"/>
  <c r="L449" i="14"/>
  <c r="N449" i="14"/>
  <c r="N446" i="14" s="1"/>
  <c r="P449" i="14"/>
  <c r="M454" i="14"/>
  <c r="N454" i="14"/>
  <c r="P454" i="14"/>
  <c r="O455" i="14"/>
  <c r="P455" i="14"/>
  <c r="L456" i="14"/>
  <c r="L454" i="14" s="1"/>
  <c r="O454" i="14" s="1"/>
  <c r="P456" i="14"/>
  <c r="K458" i="14"/>
  <c r="I460" i="14"/>
  <c r="I442" i="14" s="1"/>
  <c r="K442" i="14" s="1"/>
  <c r="I462" i="14"/>
  <c r="I443" i="14" s="1"/>
  <c r="K443" i="14" s="1"/>
  <c r="I463" i="14"/>
  <c r="I464" i="14"/>
  <c r="I465" i="14"/>
  <c r="J465" i="14"/>
  <c r="I466" i="14"/>
  <c r="J466" i="14"/>
  <c r="L468" i="14"/>
  <c r="M468" i="14"/>
  <c r="P468" i="14" s="1"/>
  <c r="N468" i="14"/>
  <c r="O468" i="14"/>
  <c r="O471" i="14"/>
  <c r="P471" i="14"/>
  <c r="L472" i="14"/>
  <c r="N476" i="14"/>
  <c r="N472" i="14" s="1"/>
  <c r="M477" i="14"/>
  <c r="N477" i="14"/>
  <c r="P477" i="14"/>
  <c r="O478" i="14"/>
  <c r="P478" i="14"/>
  <c r="L479" i="14"/>
  <c r="O479" i="14" s="1"/>
  <c r="P479" i="14"/>
  <c r="I483" i="14"/>
  <c r="K483" i="14" s="1"/>
  <c r="I485" i="14"/>
  <c r="K485" i="14" s="1"/>
  <c r="I487" i="14"/>
  <c r="K487" i="14" s="1"/>
  <c r="I489" i="14"/>
  <c r="K489" i="14" s="1"/>
  <c r="I492" i="14"/>
  <c r="K492" i="14" s="1"/>
  <c r="I495" i="14"/>
  <c r="K495" i="14" s="1"/>
  <c r="I498" i="14"/>
  <c r="K498" i="14" s="1"/>
  <c r="J500" i="14"/>
  <c r="K500" i="14"/>
  <c r="J501" i="14"/>
  <c r="K501" i="14"/>
  <c r="L503" i="14"/>
  <c r="M503" i="14"/>
  <c r="P503" i="14" s="1"/>
  <c r="N503" i="14"/>
  <c r="O503" i="14"/>
  <c r="L504" i="14"/>
  <c r="L502" i="14" s="1"/>
  <c r="O502" i="14" s="1"/>
  <c r="M504" i="14"/>
  <c r="P504" i="14" s="1"/>
  <c r="L505" i="14"/>
  <c r="M505" i="14"/>
  <c r="P505" i="14" s="1"/>
  <c r="O505" i="14"/>
  <c r="O506" i="14"/>
  <c r="P506" i="14"/>
  <c r="N507" i="14"/>
  <c r="N505" i="14" s="1"/>
  <c r="O507" i="14"/>
  <c r="P507" i="14"/>
  <c r="L512" i="14"/>
  <c r="O512" i="14" s="1"/>
  <c r="M512" i="14"/>
  <c r="P512" i="14" s="1"/>
  <c r="N512" i="14"/>
  <c r="O513" i="14"/>
  <c r="P513" i="14"/>
  <c r="O514" i="14"/>
  <c r="P514" i="14"/>
  <c r="K516" i="14"/>
  <c r="J517" i="14"/>
  <c r="K517" i="14"/>
  <c r="L524" i="14"/>
  <c r="O524" i="14" s="1"/>
  <c r="M524" i="14"/>
  <c r="N524" i="14"/>
  <c r="M525" i="14"/>
  <c r="P525" i="14" s="1"/>
  <c r="M526" i="14"/>
  <c r="P526" i="14" s="1"/>
  <c r="O527" i="14"/>
  <c r="P527" i="14"/>
  <c r="L528" i="14"/>
  <c r="L526" i="14" s="1"/>
  <c r="O526" i="14" s="1"/>
  <c r="N528" i="14"/>
  <c r="N526" i="14" s="1"/>
  <c r="P528" i="14"/>
  <c r="M533" i="14"/>
  <c r="P533" i="14" s="1"/>
  <c r="N533" i="14"/>
  <c r="O534" i="14"/>
  <c r="P534" i="14"/>
  <c r="L535" i="14"/>
  <c r="O535" i="14" s="1"/>
  <c r="P535" i="14"/>
  <c r="I537" i="14"/>
  <c r="K537" i="14" s="1"/>
  <c r="I538" i="14"/>
  <c r="K538" i="14" s="1"/>
  <c r="I539" i="14"/>
  <c r="K539" i="14" s="1"/>
  <c r="I540" i="14"/>
  <c r="K540" i="14" s="1"/>
  <c r="I541" i="14"/>
  <c r="K541" i="14" s="1"/>
  <c r="I542" i="14"/>
  <c r="K542" i="14" s="1"/>
  <c r="L545" i="14"/>
  <c r="M545" i="14"/>
  <c r="O548" i="14"/>
  <c r="P548" i="14"/>
  <c r="L549" i="14"/>
  <c r="O549" i="14" s="1"/>
  <c r="N549" i="14"/>
  <c r="N546" i="14" s="1"/>
  <c r="M555" i="14"/>
  <c r="P555" i="14" s="1"/>
  <c r="N555" i="14"/>
  <c r="N545" i="14" s="1"/>
  <c r="O556" i="14"/>
  <c r="P556" i="14"/>
  <c r="L557" i="14"/>
  <c r="L555" i="14" s="1"/>
  <c r="O555" i="14" s="1"/>
  <c r="P557" i="14"/>
  <c r="I560" i="14"/>
  <c r="K560" i="14" s="1"/>
  <c r="J560" i="14"/>
  <c r="I561" i="14"/>
  <c r="K561" i="14" s="1"/>
  <c r="J561" i="14"/>
  <c r="I568" i="14"/>
  <c r="K568" i="14" s="1"/>
  <c r="J568" i="14"/>
  <c r="I569" i="14"/>
  <c r="K569" i="14" s="1"/>
  <c r="J569" i="14"/>
  <c r="I576" i="14"/>
  <c r="I559" i="14" s="1"/>
  <c r="J576" i="14"/>
  <c r="J559" i="14" s="1"/>
  <c r="J543" i="14" s="1"/>
  <c r="I577" i="14"/>
  <c r="K577" i="14" s="1"/>
  <c r="J582" i="14"/>
  <c r="J583" i="14"/>
  <c r="J577" i="14" s="1"/>
  <c r="I593" i="14"/>
  <c r="I592" i="14" s="1"/>
  <c r="I594" i="14"/>
  <c r="J595" i="14"/>
  <c r="J596" i="14"/>
  <c r="J603" i="14"/>
  <c r="J604" i="14"/>
  <c r="J611" i="14"/>
  <c r="K611" i="14"/>
  <c r="J612" i="14"/>
  <c r="K612" i="14"/>
  <c r="J613" i="14"/>
  <c r="K613" i="14"/>
  <c r="I620" i="14"/>
  <c r="K620" i="14" s="1"/>
  <c r="J620" i="14"/>
  <c r="I621" i="14"/>
  <c r="K621" i="14" s="1"/>
  <c r="J621" i="14"/>
  <c r="M629" i="14"/>
  <c r="P629" i="14" s="1"/>
  <c r="L630" i="14"/>
  <c r="O630" i="14" s="1"/>
  <c r="M630" i="14"/>
  <c r="P630" i="14" s="1"/>
  <c r="N630" i="14"/>
  <c r="M631" i="14"/>
  <c r="P631" i="14"/>
  <c r="M632" i="14"/>
  <c r="P632" i="14"/>
  <c r="O633" i="14"/>
  <c r="P633" i="14"/>
  <c r="L634" i="14"/>
  <c r="L632" i="14" s="1"/>
  <c r="O632" i="14" s="1"/>
  <c r="N634" i="14"/>
  <c r="N632" i="14" s="1"/>
  <c r="P634" i="14"/>
  <c r="M639" i="14"/>
  <c r="N639" i="14"/>
  <c r="P639" i="14"/>
  <c r="O640" i="14"/>
  <c r="P640" i="14"/>
  <c r="L641" i="14"/>
  <c r="L639" i="14" s="1"/>
  <c r="O639" i="14" s="1"/>
  <c r="P641" i="14"/>
  <c r="I643" i="14"/>
  <c r="K643" i="14" s="1"/>
  <c r="I644" i="14"/>
  <c r="K644" i="14" s="1"/>
  <c r="J645" i="14"/>
  <c r="K645" i="14"/>
  <c r="J646" i="14"/>
  <c r="K646" i="14"/>
  <c r="I647" i="14"/>
  <c r="K647" i="14" s="1"/>
  <c r="J647" i="14"/>
  <c r="J648" i="14"/>
  <c r="K648" i="14"/>
  <c r="I649" i="14"/>
  <c r="K649" i="14" s="1"/>
  <c r="J649" i="14"/>
  <c r="J650" i="14"/>
  <c r="K650" i="14"/>
  <c r="I651" i="14"/>
  <c r="I628" i="14" s="1"/>
  <c r="K628" i="14" s="1"/>
  <c r="J651" i="14"/>
  <c r="J628" i="14" s="1"/>
  <c r="J652" i="14"/>
  <c r="K652" i="14"/>
  <c r="L656" i="14"/>
  <c r="M656" i="14"/>
  <c r="N656" i="14"/>
  <c r="O659" i="14"/>
  <c r="P659" i="14"/>
  <c r="L660" i="14"/>
  <c r="O660" i="14" s="1"/>
  <c r="N660" i="14"/>
  <c r="N657" i="14" s="1"/>
  <c r="N655" i="14" s="1"/>
  <c r="L665" i="14"/>
  <c r="M665" i="14"/>
  <c r="P665" i="14" s="1"/>
  <c r="N665" i="14"/>
  <c r="O665" i="14"/>
  <c r="O666" i="14"/>
  <c r="P666" i="14"/>
  <c r="O667" i="14"/>
  <c r="P667" i="14"/>
  <c r="I669" i="14"/>
  <c r="K672" i="14" s="1"/>
  <c r="I670" i="14"/>
  <c r="K670" i="14" s="1"/>
  <c r="I671" i="14"/>
  <c r="K671" i="14" s="1"/>
  <c r="J675" i="14"/>
  <c r="J669" i="14" s="1"/>
  <c r="J654" i="14" s="1"/>
  <c r="I678" i="14"/>
  <c r="K678" i="14" s="1"/>
  <c r="J679" i="14"/>
  <c r="J678" i="14" s="1"/>
  <c r="L686" i="14"/>
  <c r="O686" i="14" s="1"/>
  <c r="M686" i="14"/>
  <c r="P686" i="14" s="1"/>
  <c r="N686" i="14"/>
  <c r="L690" i="14"/>
  <c r="L688" i="14" s="1"/>
  <c r="N690" i="14"/>
  <c r="N688" i="14" s="1"/>
  <c r="L695" i="14"/>
  <c r="O695" i="14" s="1"/>
  <c r="M695" i="14"/>
  <c r="P695" i="14" s="1"/>
  <c r="N695" i="14"/>
  <c r="O696" i="14"/>
  <c r="P696" i="14"/>
  <c r="O697" i="14"/>
  <c r="P697" i="14"/>
  <c r="I699" i="14"/>
  <c r="K699" i="14" s="1"/>
  <c r="J699" i="14"/>
  <c r="I700" i="14"/>
  <c r="J700" i="14"/>
  <c r="I701" i="14"/>
  <c r="K701" i="14" s="1"/>
  <c r="J701" i="14"/>
  <c r="I704" i="14"/>
  <c r="I707" i="14"/>
  <c r="I708" i="14"/>
  <c r="K708" i="14" s="1"/>
  <c r="J708" i="14"/>
  <c r="J718" i="14"/>
  <c r="J719" i="14"/>
  <c r="I720" i="14"/>
  <c r="K720" i="14" s="1"/>
  <c r="J720" i="14"/>
  <c r="I721" i="14"/>
  <c r="I722" i="14"/>
  <c r="I723" i="14"/>
  <c r="J723" i="14"/>
  <c r="J724" i="14"/>
  <c r="I725" i="14"/>
  <c r="J725" i="14"/>
  <c r="I726" i="14"/>
  <c r="J726" i="14"/>
  <c r="J727" i="14"/>
  <c r="I728" i="14"/>
  <c r="J728" i="14"/>
  <c r="I729" i="14"/>
  <c r="K729" i="14" s="1"/>
  <c r="J729" i="14"/>
  <c r="J736" i="14"/>
  <c r="K736" i="14"/>
  <c r="L738" i="14"/>
  <c r="L737" i="14" s="1"/>
  <c r="O737" i="14" s="1"/>
  <c r="M738" i="14"/>
  <c r="P738" i="14" s="1"/>
  <c r="N738" i="14"/>
  <c r="L739" i="14"/>
  <c r="M739" i="14"/>
  <c r="M737" i="14" s="1"/>
  <c r="P737" i="14" s="1"/>
  <c r="O739" i="14"/>
  <c r="L740" i="14"/>
  <c r="M740" i="14"/>
  <c r="N740" i="14"/>
  <c r="O740" i="14"/>
  <c r="P740" i="14"/>
  <c r="O741" i="14"/>
  <c r="P741" i="14"/>
  <c r="N742" i="14"/>
  <c r="N739" i="14" s="1"/>
  <c r="O742" i="14"/>
  <c r="P742" i="14"/>
  <c r="L747" i="14"/>
  <c r="O747" i="14" s="1"/>
  <c r="M747" i="14"/>
  <c r="P747" i="14" s="1"/>
  <c r="N747" i="14"/>
  <c r="O748" i="14"/>
  <c r="P748" i="14"/>
  <c r="O749" i="14"/>
  <c r="P749" i="14"/>
  <c r="J753" i="14"/>
  <c r="K753" i="14"/>
  <c r="L755" i="14"/>
  <c r="L754" i="14" s="1"/>
  <c r="O754" i="14" s="1"/>
  <c r="M755" i="14"/>
  <c r="M754" i="14" s="1"/>
  <c r="P754" i="14" s="1"/>
  <c r="N755" i="14"/>
  <c r="O755" i="14"/>
  <c r="L756" i="14"/>
  <c r="M756" i="14"/>
  <c r="O756" i="14"/>
  <c r="P756" i="14"/>
  <c r="L757" i="14"/>
  <c r="O757" i="14" s="1"/>
  <c r="M757" i="14"/>
  <c r="P757" i="14"/>
  <c r="O758" i="14"/>
  <c r="P758" i="14"/>
  <c r="N759" i="14"/>
  <c r="N757" i="14" s="1"/>
  <c r="O759" i="14"/>
  <c r="P759" i="14"/>
  <c r="L764" i="14"/>
  <c r="O764" i="14" s="1"/>
  <c r="M764" i="14"/>
  <c r="P764" i="14" s="1"/>
  <c r="N764" i="14"/>
  <c r="O765" i="14"/>
  <c r="P765" i="14"/>
  <c r="O766" i="14"/>
  <c r="P766" i="14"/>
  <c r="J769" i="14"/>
  <c r="K769" i="14"/>
  <c r="L771" i="14"/>
  <c r="M771" i="14"/>
  <c r="P771" i="14" s="1"/>
  <c r="N771" i="14"/>
  <c r="O771" i="14"/>
  <c r="L772" i="14"/>
  <c r="O772" i="14" s="1"/>
  <c r="M772" i="14"/>
  <c r="P772" i="14" s="1"/>
  <c r="L773" i="14"/>
  <c r="M773" i="14"/>
  <c r="P773" i="14" s="1"/>
  <c r="O773" i="14"/>
  <c r="O774" i="14"/>
  <c r="P774" i="14"/>
  <c r="N775" i="14"/>
  <c r="N773" i="14" s="1"/>
  <c r="O775" i="14"/>
  <c r="P775" i="14"/>
  <c r="L780" i="14"/>
  <c r="O780" i="14" s="1"/>
  <c r="M780" i="14"/>
  <c r="P780" i="14" s="1"/>
  <c r="N780" i="14"/>
  <c r="O781" i="14"/>
  <c r="P781" i="14"/>
  <c r="O782" i="14"/>
  <c r="P782" i="14"/>
  <c r="L787" i="14"/>
  <c r="O787" i="14" s="1"/>
  <c r="M787" i="14"/>
  <c r="N787" i="14"/>
  <c r="M788" i="14"/>
  <c r="P788" i="14" s="1"/>
  <c r="M789" i="14"/>
  <c r="P789" i="14"/>
  <c r="O790" i="14"/>
  <c r="P790" i="14"/>
  <c r="L791" i="14"/>
  <c r="L789" i="14" s="1"/>
  <c r="O789" i="14" s="1"/>
  <c r="N791" i="14"/>
  <c r="N789" i="14" s="1"/>
  <c r="P791" i="14"/>
  <c r="L796" i="14"/>
  <c r="M796" i="14"/>
  <c r="P796" i="14" s="1"/>
  <c r="N796" i="14"/>
  <c r="O796" i="14"/>
  <c r="O797" i="14"/>
  <c r="P797" i="14"/>
  <c r="O798" i="14"/>
  <c r="P798" i="14"/>
  <c r="I800" i="14"/>
  <c r="I785" i="14" s="1"/>
  <c r="K785" i="14" s="1"/>
  <c r="J800" i="14"/>
  <c r="J785" i="14" s="1"/>
  <c r="J801" i="14"/>
  <c r="K802" i="14"/>
  <c r="J804" i="14"/>
  <c r="K804" i="14"/>
  <c r="L806" i="14"/>
  <c r="O806" i="14" s="1"/>
  <c r="M806" i="14"/>
  <c r="N806" i="14"/>
  <c r="L807" i="14"/>
  <c r="O807" i="14" s="1"/>
  <c r="M807" i="14"/>
  <c r="P807" i="14" s="1"/>
  <c r="L808" i="14"/>
  <c r="M808" i="14"/>
  <c r="P808" i="14" s="1"/>
  <c r="O808" i="14"/>
  <c r="O809" i="14"/>
  <c r="P809" i="14"/>
  <c r="N810" i="14"/>
  <c r="N808" i="14" s="1"/>
  <c r="O810" i="14"/>
  <c r="P810" i="14"/>
  <c r="L815" i="14"/>
  <c r="O815" i="14" s="1"/>
  <c r="M815" i="14"/>
  <c r="N815" i="14"/>
  <c r="P815" i="14"/>
  <c r="O816" i="14"/>
  <c r="P816" i="14"/>
  <c r="O817" i="14"/>
  <c r="P817" i="14"/>
  <c r="H820" i="14"/>
  <c r="I821" i="14"/>
  <c r="J821" i="14"/>
  <c r="I822" i="14"/>
  <c r="J822" i="14"/>
  <c r="I823" i="14"/>
  <c r="J823" i="14"/>
  <c r="I824" i="14"/>
  <c r="J824" i="14"/>
  <c r="I825" i="14"/>
  <c r="J825" i="14"/>
  <c r="I826" i="14"/>
  <c r="J826" i="14"/>
  <c r="I827" i="14"/>
  <c r="J827" i="14"/>
  <c r="I828" i="14"/>
  <c r="J828" i="14"/>
  <c r="L22" i="13"/>
  <c r="M22" i="13"/>
  <c r="P22" i="13" s="1"/>
  <c r="N22" i="13"/>
  <c r="L25" i="13"/>
  <c r="M25" i="13"/>
  <c r="N25" i="13"/>
  <c r="O25" i="13"/>
  <c r="L32" i="13"/>
  <c r="O32" i="13" s="1"/>
  <c r="M32" i="13"/>
  <c r="N32" i="13"/>
  <c r="L35" i="13"/>
  <c r="L29" i="13" s="1"/>
  <c r="M35" i="13"/>
  <c r="P35" i="13" s="1"/>
  <c r="N35" i="13"/>
  <c r="N15" i="13" s="1"/>
  <c r="M36" i="13"/>
  <c r="N36" i="13"/>
  <c r="L42" i="13"/>
  <c r="O42" i="13" s="1"/>
  <c r="M42" i="13"/>
  <c r="P42" i="13" s="1"/>
  <c r="N42" i="13"/>
  <c r="O45" i="13"/>
  <c r="P45" i="13"/>
  <c r="L46" i="13"/>
  <c r="L44" i="13" s="1"/>
  <c r="M46" i="13"/>
  <c r="M44" i="13" s="1"/>
  <c r="N46" i="13"/>
  <c r="O48" i="13"/>
  <c r="P48" i="13"/>
  <c r="L49" i="13"/>
  <c r="L47" i="13" s="1"/>
  <c r="O47" i="13" s="1"/>
  <c r="M49" i="13"/>
  <c r="M47" i="13" s="1"/>
  <c r="P47" i="13" s="1"/>
  <c r="N49" i="13"/>
  <c r="N47" i="13" s="1"/>
  <c r="L54" i="13"/>
  <c r="M54" i="13"/>
  <c r="N54" i="13"/>
  <c r="O54" i="13"/>
  <c r="O57" i="13"/>
  <c r="P57" i="13"/>
  <c r="L58" i="13"/>
  <c r="M58" i="13"/>
  <c r="M56" i="13" s="1"/>
  <c r="N58" i="13"/>
  <c r="O60" i="13"/>
  <c r="P60" i="13"/>
  <c r="L61" i="13"/>
  <c r="O61" i="13" s="1"/>
  <c r="M61" i="13"/>
  <c r="M59" i="13" s="1"/>
  <c r="P59" i="13" s="1"/>
  <c r="N61" i="13"/>
  <c r="N59" i="13" s="1"/>
  <c r="L67" i="13"/>
  <c r="O67" i="13" s="1"/>
  <c r="M67" i="13"/>
  <c r="N67" i="13"/>
  <c r="P67" i="13"/>
  <c r="O70" i="13"/>
  <c r="P70" i="13"/>
  <c r="L71" i="13"/>
  <c r="L69" i="13" s="1"/>
  <c r="M71" i="13"/>
  <c r="M69" i="13" s="1"/>
  <c r="N71" i="13"/>
  <c r="N69" i="13" s="1"/>
  <c r="O73" i="13"/>
  <c r="P73" i="13"/>
  <c r="L74" i="13"/>
  <c r="L72" i="13" s="1"/>
  <c r="O72" i="13" s="1"/>
  <c r="M74" i="13"/>
  <c r="M72" i="13" s="1"/>
  <c r="P72" i="13" s="1"/>
  <c r="N74" i="13"/>
  <c r="N72" i="13" s="1"/>
  <c r="J76" i="13"/>
  <c r="J64" i="13" s="1"/>
  <c r="J77" i="13"/>
  <c r="J65" i="13" s="1"/>
  <c r="I78" i="13"/>
  <c r="K78" i="13" s="1"/>
  <c r="I79" i="13"/>
  <c r="K79" i="13" s="1"/>
  <c r="I80" i="13"/>
  <c r="K80" i="13" s="1"/>
  <c r="I81" i="13"/>
  <c r="I82" i="13"/>
  <c r="K82" i="13" s="1"/>
  <c r="I83" i="13"/>
  <c r="K83" i="13" s="1"/>
  <c r="I84" i="13"/>
  <c r="K84" i="13" s="1"/>
  <c r="J87" i="13"/>
  <c r="L89" i="13"/>
  <c r="O89" i="13" s="1"/>
  <c r="M89" i="13"/>
  <c r="P89" i="13" s="1"/>
  <c r="N89" i="13"/>
  <c r="O92" i="13"/>
  <c r="P92" i="13"/>
  <c r="L93" i="13"/>
  <c r="M93" i="13"/>
  <c r="N93" i="13"/>
  <c r="N91" i="13" s="1"/>
  <c r="O95" i="13"/>
  <c r="P95" i="13"/>
  <c r="L96" i="13"/>
  <c r="M96" i="13"/>
  <c r="M94" i="13" s="1"/>
  <c r="P94" i="13" s="1"/>
  <c r="N96" i="13"/>
  <c r="N94" i="13" s="1"/>
  <c r="I98" i="13"/>
  <c r="K98" i="13" s="1"/>
  <c r="J98" i="13"/>
  <c r="J86" i="13" s="1"/>
  <c r="I99" i="13"/>
  <c r="I87" i="13" s="1"/>
  <c r="K87" i="13" s="1"/>
  <c r="J99" i="13"/>
  <c r="I100" i="13"/>
  <c r="J100" i="13"/>
  <c r="I102" i="13"/>
  <c r="K102" i="13" s="1"/>
  <c r="I103" i="13"/>
  <c r="K103" i="13" s="1"/>
  <c r="I104" i="13"/>
  <c r="K104" i="13" s="1"/>
  <c r="I106" i="13"/>
  <c r="K106" i="13" s="1"/>
  <c r="I107" i="13"/>
  <c r="K107" i="13" s="1"/>
  <c r="I109" i="13"/>
  <c r="K109" i="13" s="1"/>
  <c r="I110" i="13"/>
  <c r="K110" i="13" s="1"/>
  <c r="I111" i="13"/>
  <c r="K111" i="13" s="1"/>
  <c r="J111" i="13"/>
  <c r="J112" i="13"/>
  <c r="I113" i="13"/>
  <c r="K113" i="13" s="1"/>
  <c r="I114" i="13"/>
  <c r="K114" i="13" s="1"/>
  <c r="I115" i="13"/>
  <c r="K115" i="13" s="1"/>
  <c r="I116" i="13"/>
  <c r="K116" i="13" s="1"/>
  <c r="K118" i="13"/>
  <c r="L120" i="13"/>
  <c r="M120" i="13"/>
  <c r="N120" i="13"/>
  <c r="P120" i="13"/>
  <c r="O123" i="13"/>
  <c r="P123" i="13"/>
  <c r="L124" i="13"/>
  <c r="M124" i="13"/>
  <c r="N124" i="13"/>
  <c r="O126" i="13"/>
  <c r="P126" i="13"/>
  <c r="L127" i="13"/>
  <c r="L125" i="13" s="1"/>
  <c r="O125" i="13" s="1"/>
  <c r="M127" i="13"/>
  <c r="N127" i="13"/>
  <c r="N125" i="13" s="1"/>
  <c r="J130" i="13"/>
  <c r="L133" i="13"/>
  <c r="O133" i="13" s="1"/>
  <c r="M133" i="13"/>
  <c r="P133" i="13" s="1"/>
  <c r="N133" i="13"/>
  <c r="O136" i="13"/>
  <c r="P136" i="13"/>
  <c r="L137" i="13"/>
  <c r="L135" i="13" s="1"/>
  <c r="O135" i="13" s="1"/>
  <c r="M137" i="13"/>
  <c r="M135" i="13" s="1"/>
  <c r="P135" i="13" s="1"/>
  <c r="N137" i="13"/>
  <c r="N135" i="13" s="1"/>
  <c r="O139" i="13"/>
  <c r="P139" i="13"/>
  <c r="L140" i="13"/>
  <c r="L138" i="13" s="1"/>
  <c r="O138" i="13" s="1"/>
  <c r="M140" i="13"/>
  <c r="M138" i="13" s="1"/>
  <c r="P138" i="13" s="1"/>
  <c r="N140" i="13"/>
  <c r="N138" i="13" s="1"/>
  <c r="I144" i="13"/>
  <c r="I145" i="13"/>
  <c r="I146" i="13"/>
  <c r="I130" i="13" s="1"/>
  <c r="K130" i="13" s="1"/>
  <c r="J148" i="13"/>
  <c r="L150" i="13"/>
  <c r="M150" i="13"/>
  <c r="P150" i="13" s="1"/>
  <c r="N150" i="13"/>
  <c r="O153" i="13"/>
  <c r="P153" i="13"/>
  <c r="L154" i="13"/>
  <c r="M154" i="13"/>
  <c r="N154" i="13"/>
  <c r="N152" i="13" s="1"/>
  <c r="O156" i="13"/>
  <c r="P156" i="13"/>
  <c r="L157" i="13"/>
  <c r="L155" i="13" s="1"/>
  <c r="O155" i="13" s="1"/>
  <c r="M157" i="13"/>
  <c r="N157" i="13"/>
  <c r="N155" i="13" s="1"/>
  <c r="I159" i="13"/>
  <c r="I148" i="13" s="1"/>
  <c r="K148" i="13" s="1"/>
  <c r="L166" i="13"/>
  <c r="M166" i="13"/>
  <c r="N166" i="13"/>
  <c r="P166" i="13"/>
  <c r="O169" i="13"/>
  <c r="P169" i="13"/>
  <c r="L170" i="13"/>
  <c r="L168" i="13" s="1"/>
  <c r="M170" i="13"/>
  <c r="M168" i="13" s="1"/>
  <c r="N170" i="13"/>
  <c r="N168" i="13" s="1"/>
  <c r="O172" i="13"/>
  <c r="P172" i="13"/>
  <c r="L173" i="13"/>
  <c r="L171" i="13" s="1"/>
  <c r="O171" i="13" s="1"/>
  <c r="M173" i="13"/>
  <c r="M171" i="13" s="1"/>
  <c r="P171" i="13" s="1"/>
  <c r="N173" i="13"/>
  <c r="N171" i="13" s="1"/>
  <c r="J174" i="13"/>
  <c r="I176" i="13"/>
  <c r="I174" i="13" s="1"/>
  <c r="J177" i="13"/>
  <c r="L182" i="13"/>
  <c r="M182" i="13"/>
  <c r="P182" i="13" s="1"/>
  <c r="N182" i="13"/>
  <c r="O185" i="13"/>
  <c r="P185" i="13"/>
  <c r="L186" i="13"/>
  <c r="L184" i="13" s="1"/>
  <c r="M186" i="13"/>
  <c r="M184" i="13" s="1"/>
  <c r="N186" i="13"/>
  <c r="N184" i="13" s="1"/>
  <c r="O188" i="13"/>
  <c r="P188" i="13"/>
  <c r="L189" i="13"/>
  <c r="L187" i="13" s="1"/>
  <c r="O187" i="13" s="1"/>
  <c r="M189" i="13"/>
  <c r="N189" i="13"/>
  <c r="N187" i="13" s="1"/>
  <c r="J190" i="13"/>
  <c r="L191" i="13"/>
  <c r="O191" i="13" s="1"/>
  <c r="P191" i="13"/>
  <c r="I193" i="13"/>
  <c r="K193" i="13" s="1"/>
  <c r="J194" i="13"/>
  <c r="J197" i="13"/>
  <c r="N198" i="13"/>
  <c r="P198" i="13"/>
  <c r="L199" i="13"/>
  <c r="L200" i="13"/>
  <c r="L201" i="13"/>
  <c r="L202" i="13"/>
  <c r="I204" i="13"/>
  <c r="I197" i="13" s="1"/>
  <c r="K197" i="13" s="1"/>
  <c r="J208" i="13"/>
  <c r="N209" i="13"/>
  <c r="P209" i="13"/>
  <c r="L210" i="13"/>
  <c r="L211" i="13"/>
  <c r="L212" i="13"/>
  <c r="I214" i="13"/>
  <c r="K214" i="13" s="1"/>
  <c r="I215" i="13"/>
  <c r="J216" i="13"/>
  <c r="N217" i="13"/>
  <c r="P217" i="13"/>
  <c r="L218" i="13"/>
  <c r="L219" i="13"/>
  <c r="L220" i="13"/>
  <c r="I223" i="13"/>
  <c r="K223" i="13" s="1"/>
  <c r="I224" i="13"/>
  <c r="I225" i="13"/>
  <c r="K225" i="13" s="1"/>
  <c r="N228" i="13"/>
  <c r="N229" i="13"/>
  <c r="N230" i="13"/>
  <c r="N231" i="13"/>
  <c r="J233" i="13"/>
  <c r="I235" i="13"/>
  <c r="K235" i="13" s="1"/>
  <c r="J235" i="13"/>
  <c r="I236" i="13"/>
  <c r="K236" i="13" s="1"/>
  <c r="J236" i="13"/>
  <c r="J237" i="13"/>
  <c r="N238" i="13"/>
  <c r="P238" i="13"/>
  <c r="L239" i="13"/>
  <c r="L240" i="13"/>
  <c r="L241" i="13"/>
  <c r="L242" i="13"/>
  <c r="I244" i="13"/>
  <c r="I237" i="13" s="1"/>
  <c r="K246" i="13"/>
  <c r="K247" i="13"/>
  <c r="J248" i="13"/>
  <c r="N249" i="13"/>
  <c r="N227" i="13" s="1"/>
  <c r="P249" i="13"/>
  <c r="L250" i="13"/>
  <c r="L251" i="13"/>
  <c r="L252" i="13"/>
  <c r="L253" i="13"/>
  <c r="I255" i="13"/>
  <c r="K257" i="13"/>
  <c r="K258" i="13"/>
  <c r="J260" i="13"/>
  <c r="L262" i="13"/>
  <c r="O262" i="13" s="1"/>
  <c r="M262" i="13"/>
  <c r="P262" i="13" s="1"/>
  <c r="N262" i="13"/>
  <c r="O265" i="13"/>
  <c r="P265" i="13"/>
  <c r="L266" i="13"/>
  <c r="M266" i="13"/>
  <c r="N266" i="13"/>
  <c r="N264" i="13" s="1"/>
  <c r="O268" i="13"/>
  <c r="P268" i="13"/>
  <c r="L269" i="13"/>
  <c r="M269" i="13"/>
  <c r="M267" i="13" s="1"/>
  <c r="P267" i="13" s="1"/>
  <c r="N269" i="13"/>
  <c r="N267" i="13" s="1"/>
  <c r="I271" i="13"/>
  <c r="I260" i="13" s="1"/>
  <c r="K260" i="13" s="1"/>
  <c r="J276" i="13"/>
  <c r="L278" i="13"/>
  <c r="O278" i="13" s="1"/>
  <c r="M278" i="13"/>
  <c r="N278" i="13"/>
  <c r="P278" i="13"/>
  <c r="O281" i="13"/>
  <c r="P281" i="13"/>
  <c r="L282" i="13"/>
  <c r="M282" i="13"/>
  <c r="M280" i="13" s="1"/>
  <c r="P280" i="13" s="1"/>
  <c r="N282" i="13"/>
  <c r="O284" i="13"/>
  <c r="P284" i="13"/>
  <c r="L285" i="13"/>
  <c r="L283" i="13" s="1"/>
  <c r="O283" i="13" s="1"/>
  <c r="M285" i="13"/>
  <c r="M283" i="13" s="1"/>
  <c r="P283" i="13" s="1"/>
  <c r="N285" i="13"/>
  <c r="N283" i="13" s="1"/>
  <c r="I287" i="13"/>
  <c r="K287" i="13" s="1"/>
  <c r="I288" i="13"/>
  <c r="K288" i="13" s="1"/>
  <c r="I290" i="13"/>
  <c r="K290" i="13" s="1"/>
  <c r="I291" i="13"/>
  <c r="K291" i="13" s="1"/>
  <c r="I293" i="13"/>
  <c r="K293" i="13" s="1"/>
  <c r="I294" i="13"/>
  <c r="K294" i="13" s="1"/>
  <c r="J297" i="13"/>
  <c r="L299" i="13"/>
  <c r="M299" i="13"/>
  <c r="P299" i="13" s="1"/>
  <c r="N299" i="13"/>
  <c r="O299" i="13"/>
  <c r="O302" i="13"/>
  <c r="P302" i="13"/>
  <c r="L303" i="13"/>
  <c r="L301" i="13" s="1"/>
  <c r="M303" i="13"/>
  <c r="N303" i="13"/>
  <c r="N301" i="13" s="1"/>
  <c r="O305" i="13"/>
  <c r="P305" i="13"/>
  <c r="L306" i="13"/>
  <c r="M306" i="13"/>
  <c r="M304" i="13" s="1"/>
  <c r="P304" i="13" s="1"/>
  <c r="N306" i="13"/>
  <c r="N304" i="13" s="1"/>
  <c r="I309" i="13"/>
  <c r="I297" i="13" s="1"/>
  <c r="K297" i="13" s="1"/>
  <c r="I310" i="13"/>
  <c r="K310" i="13" s="1"/>
  <c r="I311" i="13"/>
  <c r="K311" i="13" s="1"/>
  <c r="I312" i="13"/>
  <c r="K312" i="13" s="1"/>
  <c r="J314" i="13"/>
  <c r="L316" i="13"/>
  <c r="M316" i="13"/>
  <c r="N316" i="13"/>
  <c r="O319" i="13"/>
  <c r="P319" i="13"/>
  <c r="L320" i="13"/>
  <c r="M320" i="13"/>
  <c r="P320" i="13" s="1"/>
  <c r="N320" i="13"/>
  <c r="N318" i="13" s="1"/>
  <c r="O322" i="13"/>
  <c r="P322" i="13"/>
  <c r="L323" i="13"/>
  <c r="M323" i="13"/>
  <c r="P323" i="13" s="1"/>
  <c r="N323" i="13"/>
  <c r="N321" i="13" s="1"/>
  <c r="I325" i="13"/>
  <c r="I314" i="13" s="1"/>
  <c r="K314" i="13" s="1"/>
  <c r="I327" i="13"/>
  <c r="L329" i="13"/>
  <c r="M329" i="13"/>
  <c r="P329" i="13" s="1"/>
  <c r="N329" i="13"/>
  <c r="O329" i="13"/>
  <c r="O332" i="13"/>
  <c r="P332" i="13"/>
  <c r="L333" i="13"/>
  <c r="L331" i="13" s="1"/>
  <c r="M333" i="13"/>
  <c r="N333" i="13"/>
  <c r="O335" i="13"/>
  <c r="P335" i="13"/>
  <c r="L336" i="13"/>
  <c r="O336" i="13" s="1"/>
  <c r="M336" i="13"/>
  <c r="P336" i="13" s="1"/>
  <c r="N336" i="13"/>
  <c r="N334" i="13" s="1"/>
  <c r="D337" i="13"/>
  <c r="I338" i="13"/>
  <c r="J338" i="13"/>
  <c r="I340" i="13"/>
  <c r="J340" i="13"/>
  <c r="J341" i="13"/>
  <c r="J342" i="13"/>
  <c r="J343" i="13"/>
  <c r="L346" i="13"/>
  <c r="M346" i="13"/>
  <c r="N346" i="13"/>
  <c r="P346" i="13"/>
  <c r="O349" i="13"/>
  <c r="P349" i="13"/>
  <c r="L350" i="13"/>
  <c r="L348" i="13" s="1"/>
  <c r="M350" i="13"/>
  <c r="M348" i="13" s="1"/>
  <c r="N350" i="13"/>
  <c r="O352" i="13"/>
  <c r="P352" i="13"/>
  <c r="L353" i="13"/>
  <c r="L351" i="13" s="1"/>
  <c r="M353" i="13"/>
  <c r="N353" i="13"/>
  <c r="N351" i="13" s="1"/>
  <c r="I355" i="13"/>
  <c r="K355" i="13" s="1"/>
  <c r="J358" i="13"/>
  <c r="K358" i="13"/>
  <c r="I359" i="13"/>
  <c r="K359" i="13" s="1"/>
  <c r="J359" i="13"/>
  <c r="I360" i="13"/>
  <c r="K360" i="13" s="1"/>
  <c r="J360" i="13"/>
  <c r="J361" i="13"/>
  <c r="K361" i="13"/>
  <c r="I362" i="13"/>
  <c r="K362" i="13" s="1"/>
  <c r="J362" i="13"/>
  <c r="J355" i="13" s="1"/>
  <c r="J363" i="13"/>
  <c r="K363" i="13"/>
  <c r="I365" i="13"/>
  <c r="K365" i="13" s="1"/>
  <c r="J368" i="13"/>
  <c r="K368" i="13"/>
  <c r="I369" i="13"/>
  <c r="K369" i="13" s="1"/>
  <c r="J369" i="13"/>
  <c r="I370" i="13"/>
  <c r="K370" i="13" s="1"/>
  <c r="J370" i="13"/>
  <c r="J371" i="13"/>
  <c r="K371" i="13"/>
  <c r="I372" i="13"/>
  <c r="K372" i="13" s="1"/>
  <c r="J372" i="13"/>
  <c r="J365" i="13" s="1"/>
  <c r="J373" i="13"/>
  <c r="K373" i="13"/>
  <c r="I374" i="13"/>
  <c r="J377" i="13"/>
  <c r="K377" i="13"/>
  <c r="I378" i="13"/>
  <c r="K378" i="13" s="1"/>
  <c r="J378" i="13"/>
  <c r="I379" i="13"/>
  <c r="K379" i="13" s="1"/>
  <c r="J379" i="13"/>
  <c r="J380" i="13"/>
  <c r="K380" i="13"/>
  <c r="I381" i="13"/>
  <c r="K381" i="13" s="1"/>
  <c r="J381" i="13"/>
  <c r="J374" i="13" s="1"/>
  <c r="J382" i="13"/>
  <c r="K382" i="13"/>
  <c r="D384" i="13"/>
  <c r="I385" i="13"/>
  <c r="J385" i="13"/>
  <c r="I388" i="13"/>
  <c r="K388" i="13" s="1"/>
  <c r="J388" i="13"/>
  <c r="L390" i="13"/>
  <c r="O390" i="13" s="1"/>
  <c r="M390" i="13"/>
  <c r="P390" i="13" s="1"/>
  <c r="N390" i="13"/>
  <c r="O393" i="13"/>
  <c r="P393" i="13"/>
  <c r="L394" i="13"/>
  <c r="L392" i="13" s="1"/>
  <c r="O392" i="13" s="1"/>
  <c r="M394" i="13"/>
  <c r="P394" i="13" s="1"/>
  <c r="N394" i="13"/>
  <c r="N392" i="13" s="1"/>
  <c r="O396" i="13"/>
  <c r="P396" i="13"/>
  <c r="L397" i="13"/>
  <c r="M397" i="13"/>
  <c r="M395" i="13" s="1"/>
  <c r="P395" i="13" s="1"/>
  <c r="N397" i="13"/>
  <c r="N395" i="13" s="1"/>
  <c r="K399" i="13"/>
  <c r="K400" i="13"/>
  <c r="I401" i="13"/>
  <c r="J401" i="13"/>
  <c r="K401" i="13"/>
  <c r="L403" i="13"/>
  <c r="O403" i="13" s="1"/>
  <c r="M403" i="13"/>
  <c r="N403" i="13"/>
  <c r="O406" i="13"/>
  <c r="P406" i="13"/>
  <c r="L407" i="13"/>
  <c r="M407" i="13"/>
  <c r="M405" i="13" s="1"/>
  <c r="P405" i="13" s="1"/>
  <c r="N407" i="13"/>
  <c r="N405" i="13" s="1"/>
  <c r="O409" i="13"/>
  <c r="P409" i="13"/>
  <c r="L410" i="13"/>
  <c r="M410" i="13"/>
  <c r="P410" i="13" s="1"/>
  <c r="N410" i="13"/>
  <c r="N408" i="13" s="1"/>
  <c r="K412" i="13"/>
  <c r="K413" i="13"/>
  <c r="L420" i="13"/>
  <c r="O420" i="13" s="1"/>
  <c r="M420" i="13"/>
  <c r="N420" i="13"/>
  <c r="O423" i="13"/>
  <c r="P423" i="13"/>
  <c r="L424" i="13"/>
  <c r="N424" i="13"/>
  <c r="M429" i="13"/>
  <c r="N429" i="13"/>
  <c r="P429" i="13"/>
  <c r="O430" i="13"/>
  <c r="P430" i="13"/>
  <c r="L431" i="13"/>
  <c r="P431" i="13"/>
  <c r="J434" i="13"/>
  <c r="J418" i="13" s="1"/>
  <c r="I435" i="13"/>
  <c r="I433" i="13" s="1"/>
  <c r="I437" i="13"/>
  <c r="I438" i="13"/>
  <c r="K438" i="13" s="1"/>
  <c r="I439" i="13"/>
  <c r="K439" i="13" s="1"/>
  <c r="I440" i="13"/>
  <c r="K440" i="13" s="1"/>
  <c r="I441" i="13"/>
  <c r="K441" i="13" s="1"/>
  <c r="J442" i="13"/>
  <c r="J443" i="13"/>
  <c r="L445" i="13"/>
  <c r="M445" i="13"/>
  <c r="P445" i="13" s="1"/>
  <c r="N445" i="13"/>
  <c r="M446" i="13"/>
  <c r="P446" i="13" s="1"/>
  <c r="M447" i="13"/>
  <c r="P447" i="13" s="1"/>
  <c r="O448" i="13"/>
  <c r="P448" i="13"/>
  <c r="L449" i="13"/>
  <c r="L447" i="13" s="1"/>
  <c r="O447" i="13" s="1"/>
  <c r="N449" i="13"/>
  <c r="N447" i="13" s="1"/>
  <c r="P449" i="13"/>
  <c r="M454" i="13"/>
  <c r="P454" i="13" s="1"/>
  <c r="N454" i="13"/>
  <c r="O455" i="13"/>
  <c r="P455" i="13"/>
  <c r="L456" i="13"/>
  <c r="P456" i="13"/>
  <c r="K458" i="13"/>
  <c r="I460" i="13"/>
  <c r="K460" i="13" s="1"/>
  <c r="I462" i="13"/>
  <c r="K462" i="13" s="1"/>
  <c r="I463" i="13"/>
  <c r="I464" i="13"/>
  <c r="I465" i="13"/>
  <c r="K465" i="13" s="1"/>
  <c r="J465" i="13"/>
  <c r="I466" i="13"/>
  <c r="K466" i="13" s="1"/>
  <c r="J466" i="13"/>
  <c r="L468" i="13"/>
  <c r="M468" i="13"/>
  <c r="N468" i="13"/>
  <c r="M469" i="13"/>
  <c r="P469" i="13" s="1"/>
  <c r="M470" i="13"/>
  <c r="P470" i="13" s="1"/>
  <c r="O471" i="13"/>
  <c r="P471" i="13"/>
  <c r="L472" i="13"/>
  <c r="L470" i="13" s="1"/>
  <c r="O470" i="13" s="1"/>
  <c r="N472" i="13"/>
  <c r="N469" i="13" s="1"/>
  <c r="N467" i="13" s="1"/>
  <c r="P472" i="13"/>
  <c r="M477" i="13"/>
  <c r="P477" i="13" s="1"/>
  <c r="N477" i="13"/>
  <c r="O478" i="13"/>
  <c r="P478" i="13"/>
  <c r="L479" i="13"/>
  <c r="L477" i="13" s="1"/>
  <c r="O477" i="13" s="1"/>
  <c r="P479" i="13"/>
  <c r="I483" i="13"/>
  <c r="K483" i="13" s="1"/>
  <c r="I485" i="13"/>
  <c r="K485" i="13" s="1"/>
  <c r="I487" i="13"/>
  <c r="K487" i="13" s="1"/>
  <c r="I489" i="13"/>
  <c r="K489" i="13" s="1"/>
  <c r="I492" i="13"/>
  <c r="K492" i="13" s="1"/>
  <c r="I495" i="13"/>
  <c r="K495" i="13" s="1"/>
  <c r="I498" i="13"/>
  <c r="K498" i="13" s="1"/>
  <c r="J500" i="13"/>
  <c r="K500" i="13"/>
  <c r="K501" i="13"/>
  <c r="L503" i="13"/>
  <c r="M503" i="13"/>
  <c r="P503" i="13" s="1"/>
  <c r="N503" i="13"/>
  <c r="L504" i="13"/>
  <c r="O504" i="13" s="1"/>
  <c r="M504" i="13"/>
  <c r="L505" i="13"/>
  <c r="O505" i="13" s="1"/>
  <c r="M505" i="13"/>
  <c r="P505" i="13" s="1"/>
  <c r="O506" i="13"/>
  <c r="P506" i="13"/>
  <c r="N507" i="13"/>
  <c r="N504" i="13" s="1"/>
  <c r="O507" i="13"/>
  <c r="P507" i="13"/>
  <c r="L512" i="13"/>
  <c r="M512" i="13"/>
  <c r="N512" i="13"/>
  <c r="O512" i="13"/>
  <c r="P512" i="13"/>
  <c r="O513" i="13"/>
  <c r="P513" i="13"/>
  <c r="O514" i="13"/>
  <c r="P514" i="13"/>
  <c r="K516" i="13"/>
  <c r="J517" i="13"/>
  <c r="J501" i="13" s="1"/>
  <c r="K517" i="13"/>
  <c r="L524" i="13"/>
  <c r="O524" i="13" s="1"/>
  <c r="M524" i="13"/>
  <c r="P524" i="13" s="1"/>
  <c r="N524" i="13"/>
  <c r="M525" i="13"/>
  <c r="P525" i="13" s="1"/>
  <c r="N525" i="13"/>
  <c r="M526" i="13"/>
  <c r="P526" i="13" s="1"/>
  <c r="O527" i="13"/>
  <c r="P527" i="13"/>
  <c r="L528" i="13"/>
  <c r="N528" i="13"/>
  <c r="N526" i="13" s="1"/>
  <c r="P528" i="13"/>
  <c r="M533" i="13"/>
  <c r="P533" i="13" s="1"/>
  <c r="N533" i="13"/>
  <c r="O534" i="13"/>
  <c r="P534" i="13"/>
  <c r="L535" i="13"/>
  <c r="O535" i="13" s="1"/>
  <c r="P535" i="13"/>
  <c r="I537" i="13"/>
  <c r="I538" i="13"/>
  <c r="K538" i="13" s="1"/>
  <c r="I539" i="13"/>
  <c r="K539" i="13" s="1"/>
  <c r="I540" i="13"/>
  <c r="K540" i="13" s="1"/>
  <c r="I541" i="13"/>
  <c r="K541" i="13" s="1"/>
  <c r="I542" i="13"/>
  <c r="K542" i="13" s="1"/>
  <c r="L545" i="13"/>
  <c r="O545" i="13" s="1"/>
  <c r="N547" i="13"/>
  <c r="O548" i="13"/>
  <c r="P548" i="13"/>
  <c r="L549" i="13"/>
  <c r="L547" i="13" s="1"/>
  <c r="N549" i="13"/>
  <c r="N546" i="13" s="1"/>
  <c r="M555" i="13"/>
  <c r="M545" i="13" s="1"/>
  <c r="N555" i="13"/>
  <c r="N545" i="13" s="1"/>
  <c r="N544" i="13" s="1"/>
  <c r="P555" i="13"/>
  <c r="O556" i="13"/>
  <c r="P556" i="13"/>
  <c r="L557" i="13"/>
  <c r="L555" i="13" s="1"/>
  <c r="O555" i="13" s="1"/>
  <c r="P557" i="13"/>
  <c r="I560" i="13"/>
  <c r="K560" i="13" s="1"/>
  <c r="J560" i="13"/>
  <c r="I561" i="13"/>
  <c r="K561" i="13" s="1"/>
  <c r="J561" i="13"/>
  <c r="I568" i="13"/>
  <c r="K568" i="13" s="1"/>
  <c r="J568" i="13"/>
  <c r="I569" i="13"/>
  <c r="K569" i="13" s="1"/>
  <c r="J569" i="13"/>
  <c r="I576" i="13"/>
  <c r="K576" i="13" s="1"/>
  <c r="J576" i="13"/>
  <c r="J559" i="13" s="1"/>
  <c r="J543" i="13" s="1"/>
  <c r="I577" i="13"/>
  <c r="K577" i="13" s="1"/>
  <c r="J577" i="13"/>
  <c r="J582" i="13"/>
  <c r="J583" i="13"/>
  <c r="I593" i="13"/>
  <c r="I594" i="13"/>
  <c r="J595" i="13"/>
  <c r="J593" i="13" s="1"/>
  <c r="J592" i="13" s="1"/>
  <c r="J596" i="13"/>
  <c r="J603" i="13"/>
  <c r="J604" i="13"/>
  <c r="J594" i="13" s="1"/>
  <c r="J611" i="13"/>
  <c r="K611" i="13"/>
  <c r="J612" i="13"/>
  <c r="K612" i="13"/>
  <c r="J613" i="13"/>
  <c r="K613" i="13"/>
  <c r="I620" i="13"/>
  <c r="K620" i="13" s="1"/>
  <c r="J620" i="13"/>
  <c r="I621" i="13"/>
  <c r="K621" i="13" s="1"/>
  <c r="J621" i="13"/>
  <c r="L630" i="13"/>
  <c r="M630" i="13"/>
  <c r="P630" i="13" s="1"/>
  <c r="N630" i="13"/>
  <c r="M631" i="13"/>
  <c r="M632" i="13"/>
  <c r="P632" i="13" s="1"/>
  <c r="O633" i="13"/>
  <c r="P633" i="13"/>
  <c r="L634" i="13"/>
  <c r="O634" i="13" s="1"/>
  <c r="N634" i="13"/>
  <c r="N631" i="13" s="1"/>
  <c r="P634" i="13"/>
  <c r="M639" i="13"/>
  <c r="P639" i="13" s="1"/>
  <c r="N639" i="13"/>
  <c r="O640" i="13"/>
  <c r="P640" i="13"/>
  <c r="L641" i="13"/>
  <c r="L639" i="13" s="1"/>
  <c r="O639" i="13" s="1"/>
  <c r="P641" i="13"/>
  <c r="I643" i="13"/>
  <c r="K643" i="13" s="1"/>
  <c r="I644" i="13"/>
  <c r="K644" i="13" s="1"/>
  <c r="J645" i="13"/>
  <c r="K645" i="13"/>
  <c r="J646" i="13"/>
  <c r="K646" i="13"/>
  <c r="I647" i="13"/>
  <c r="K647" i="13" s="1"/>
  <c r="J647" i="13"/>
  <c r="J648" i="13"/>
  <c r="K648" i="13"/>
  <c r="I649" i="13"/>
  <c r="K649" i="13" s="1"/>
  <c r="J649" i="13"/>
  <c r="J650" i="13"/>
  <c r="K650" i="13"/>
  <c r="I651" i="13"/>
  <c r="K651" i="13" s="1"/>
  <c r="J651" i="13"/>
  <c r="J628" i="13" s="1"/>
  <c r="J652" i="13"/>
  <c r="K652" i="13"/>
  <c r="L656" i="13"/>
  <c r="M656" i="13"/>
  <c r="P656" i="13" s="1"/>
  <c r="N656" i="13"/>
  <c r="O659" i="13"/>
  <c r="P659" i="13"/>
  <c r="L660" i="13"/>
  <c r="L657" i="13" s="1"/>
  <c r="N660" i="13"/>
  <c r="N657" i="13" s="1"/>
  <c r="L665" i="13"/>
  <c r="O665" i="13" s="1"/>
  <c r="M665" i="13"/>
  <c r="P665" i="13" s="1"/>
  <c r="N665" i="13"/>
  <c r="O666" i="13"/>
  <c r="P666" i="13"/>
  <c r="O667" i="13"/>
  <c r="P667" i="13"/>
  <c r="I669" i="13"/>
  <c r="K672" i="13" s="1"/>
  <c r="I670" i="13"/>
  <c r="K670" i="13" s="1"/>
  <c r="I671" i="13"/>
  <c r="K671" i="13" s="1"/>
  <c r="J675" i="13"/>
  <c r="J669" i="13" s="1"/>
  <c r="J654" i="13" s="1"/>
  <c r="I678" i="13"/>
  <c r="K678" i="13" s="1"/>
  <c r="J679" i="13"/>
  <c r="J678" i="13" s="1"/>
  <c r="L686" i="13"/>
  <c r="M686" i="13"/>
  <c r="N686" i="13"/>
  <c r="N685" i="13" s="1"/>
  <c r="P686" i="13"/>
  <c r="L690" i="13"/>
  <c r="M690" i="13" s="1"/>
  <c r="N690" i="13"/>
  <c r="N687" i="13" s="1"/>
  <c r="L695" i="13"/>
  <c r="M695" i="13"/>
  <c r="N695" i="13"/>
  <c r="O695" i="13"/>
  <c r="P695" i="13"/>
  <c r="O696" i="13"/>
  <c r="P696" i="13"/>
  <c r="O697" i="13"/>
  <c r="P697" i="13"/>
  <c r="I699" i="13"/>
  <c r="K699" i="13" s="1"/>
  <c r="J699" i="13"/>
  <c r="I700" i="13"/>
  <c r="J700" i="13"/>
  <c r="I701" i="13"/>
  <c r="K701" i="13" s="1"/>
  <c r="J701" i="13"/>
  <c r="I704" i="13"/>
  <c r="I707" i="13"/>
  <c r="I708" i="13"/>
  <c r="J708" i="13"/>
  <c r="J718" i="13"/>
  <c r="J719" i="13"/>
  <c r="I720" i="13"/>
  <c r="J720" i="13"/>
  <c r="I721" i="13"/>
  <c r="I722" i="13"/>
  <c r="I723" i="13"/>
  <c r="J723" i="13"/>
  <c r="J724" i="13"/>
  <c r="I725" i="13"/>
  <c r="J725" i="13"/>
  <c r="I726" i="13"/>
  <c r="K726" i="13" s="1"/>
  <c r="J726" i="13"/>
  <c r="J727" i="13"/>
  <c r="I728" i="13"/>
  <c r="K728" i="13" s="1"/>
  <c r="J728" i="13"/>
  <c r="I729" i="13"/>
  <c r="J729" i="13"/>
  <c r="J736" i="13"/>
  <c r="K736" i="13"/>
  <c r="L738" i="13"/>
  <c r="M738" i="13"/>
  <c r="N738" i="13"/>
  <c r="P738" i="13"/>
  <c r="L739" i="13"/>
  <c r="O739" i="13" s="1"/>
  <c r="M739" i="13"/>
  <c r="P739" i="13" s="1"/>
  <c r="L740" i="13"/>
  <c r="O740" i="13" s="1"/>
  <c r="M740" i="13"/>
  <c r="P740" i="13" s="1"/>
  <c r="O741" i="13"/>
  <c r="P741" i="13"/>
  <c r="N742" i="13"/>
  <c r="N739" i="13" s="1"/>
  <c r="O742" i="13"/>
  <c r="P742" i="13"/>
  <c r="L747" i="13"/>
  <c r="M747" i="13"/>
  <c r="N747" i="13"/>
  <c r="O747" i="13"/>
  <c r="P747" i="13"/>
  <c r="O748" i="13"/>
  <c r="P748" i="13"/>
  <c r="O749" i="13"/>
  <c r="P749" i="13"/>
  <c r="J753" i="13"/>
  <c r="K753" i="13"/>
  <c r="L755" i="13"/>
  <c r="M755" i="13"/>
  <c r="N755" i="13"/>
  <c r="P755" i="13"/>
  <c r="L756" i="13"/>
  <c r="O756" i="13" s="1"/>
  <c r="M756" i="13"/>
  <c r="P756" i="13" s="1"/>
  <c r="L757" i="13"/>
  <c r="O757" i="13" s="1"/>
  <c r="M757" i="13"/>
  <c r="P757" i="13" s="1"/>
  <c r="O758" i="13"/>
  <c r="P758" i="13"/>
  <c r="N759" i="13"/>
  <c r="N756" i="13" s="1"/>
  <c r="O759" i="13"/>
  <c r="P759" i="13"/>
  <c r="L764" i="13"/>
  <c r="M764" i="13"/>
  <c r="N764" i="13"/>
  <c r="O764" i="13"/>
  <c r="P764" i="13"/>
  <c r="O765" i="13"/>
  <c r="P765" i="13"/>
  <c r="O766" i="13"/>
  <c r="P766" i="13"/>
  <c r="J769" i="13"/>
  <c r="K769" i="13"/>
  <c r="L771" i="13"/>
  <c r="M771" i="13"/>
  <c r="N771" i="13"/>
  <c r="P771" i="13"/>
  <c r="L772" i="13"/>
  <c r="O772" i="13" s="1"/>
  <c r="M772" i="13"/>
  <c r="P772" i="13" s="1"/>
  <c r="L773" i="13"/>
  <c r="O773" i="13" s="1"/>
  <c r="M773" i="13"/>
  <c r="P773" i="13" s="1"/>
  <c r="O774" i="13"/>
  <c r="P774" i="13"/>
  <c r="N775" i="13"/>
  <c r="N772" i="13" s="1"/>
  <c r="O775" i="13"/>
  <c r="P775" i="13"/>
  <c r="L780" i="13"/>
  <c r="M780" i="13"/>
  <c r="N780" i="13"/>
  <c r="O780" i="13"/>
  <c r="P780" i="13"/>
  <c r="O781" i="13"/>
  <c r="P781" i="13"/>
  <c r="O782" i="13"/>
  <c r="P782" i="13"/>
  <c r="L787" i="13"/>
  <c r="M787" i="13"/>
  <c r="N787" i="13"/>
  <c r="O787" i="13"/>
  <c r="M788" i="13"/>
  <c r="P788" i="13" s="1"/>
  <c r="N788" i="13"/>
  <c r="N786" i="13" s="1"/>
  <c r="M789" i="13"/>
  <c r="P789" i="13" s="1"/>
  <c r="O790" i="13"/>
  <c r="P790" i="13"/>
  <c r="L791" i="13"/>
  <c r="L789" i="13" s="1"/>
  <c r="O789" i="13" s="1"/>
  <c r="N791" i="13"/>
  <c r="N789" i="13" s="1"/>
  <c r="P791" i="13"/>
  <c r="L796" i="13"/>
  <c r="O796" i="13" s="1"/>
  <c r="M796" i="13"/>
  <c r="P796" i="13" s="1"/>
  <c r="N796" i="13"/>
  <c r="O797" i="13"/>
  <c r="P797" i="13"/>
  <c r="O798" i="13"/>
  <c r="P798" i="13"/>
  <c r="I800" i="13"/>
  <c r="K800" i="13" s="1"/>
  <c r="J800" i="13"/>
  <c r="J785" i="13" s="1"/>
  <c r="J801" i="13"/>
  <c r="K802" i="13"/>
  <c r="J804" i="13"/>
  <c r="K804" i="13"/>
  <c r="L806" i="13"/>
  <c r="O806" i="13" s="1"/>
  <c r="M806" i="13"/>
  <c r="N806" i="13"/>
  <c r="L807" i="13"/>
  <c r="O807" i="13" s="1"/>
  <c r="M807" i="13"/>
  <c r="P807" i="13" s="1"/>
  <c r="N807" i="13"/>
  <c r="N805" i="13" s="1"/>
  <c r="L808" i="13"/>
  <c r="O808" i="13" s="1"/>
  <c r="M808" i="13"/>
  <c r="P808" i="13" s="1"/>
  <c r="O809" i="13"/>
  <c r="P809" i="13"/>
  <c r="N810" i="13"/>
  <c r="N808" i="13" s="1"/>
  <c r="O810" i="13"/>
  <c r="P810" i="13"/>
  <c r="L815" i="13"/>
  <c r="M815" i="13"/>
  <c r="P815" i="13" s="1"/>
  <c r="N815" i="13"/>
  <c r="O815" i="13"/>
  <c r="O816" i="13"/>
  <c r="P816" i="13"/>
  <c r="O817" i="13"/>
  <c r="P817" i="13"/>
  <c r="H820" i="13"/>
  <c r="I821" i="13"/>
  <c r="J821" i="13"/>
  <c r="I822" i="13"/>
  <c r="J822" i="13"/>
  <c r="I823" i="13"/>
  <c r="J823" i="13"/>
  <c r="I824" i="13"/>
  <c r="J824" i="13"/>
  <c r="I825" i="13"/>
  <c r="J825" i="13"/>
  <c r="I826" i="13"/>
  <c r="J826" i="13"/>
  <c r="I827" i="13"/>
  <c r="J827" i="13"/>
  <c r="I828" i="13"/>
  <c r="J828" i="13"/>
  <c r="L22" i="12"/>
  <c r="M22" i="12"/>
  <c r="M12" i="12" s="1"/>
  <c r="N22" i="12"/>
  <c r="L25" i="12"/>
  <c r="M25" i="12"/>
  <c r="N25" i="12"/>
  <c r="N19" i="12" s="1"/>
  <c r="O25" i="12"/>
  <c r="P25" i="12"/>
  <c r="L32" i="12"/>
  <c r="M32" i="12"/>
  <c r="N32" i="12"/>
  <c r="M34" i="12"/>
  <c r="P34" i="12" s="1"/>
  <c r="L35" i="12"/>
  <c r="M35" i="12"/>
  <c r="P35" i="12" s="1"/>
  <c r="N35" i="12"/>
  <c r="M36" i="12"/>
  <c r="P36" i="12" s="1"/>
  <c r="N36" i="12"/>
  <c r="L42" i="12"/>
  <c r="O42" i="12" s="1"/>
  <c r="M42" i="12"/>
  <c r="P42" i="12" s="1"/>
  <c r="N42" i="12"/>
  <c r="O45" i="12"/>
  <c r="P45" i="12"/>
  <c r="L46" i="12"/>
  <c r="M46" i="12"/>
  <c r="M44" i="12" s="1"/>
  <c r="N46" i="12"/>
  <c r="N44" i="12" s="1"/>
  <c r="O48" i="12"/>
  <c r="P48" i="12"/>
  <c r="L49" i="12"/>
  <c r="M49" i="12"/>
  <c r="M47" i="12" s="1"/>
  <c r="P47" i="12" s="1"/>
  <c r="N49" i="12"/>
  <c r="N47" i="12" s="1"/>
  <c r="L54" i="12"/>
  <c r="M54" i="12"/>
  <c r="P54" i="12" s="1"/>
  <c r="N54" i="12"/>
  <c r="O57" i="12"/>
  <c r="P57" i="12"/>
  <c r="L58" i="12"/>
  <c r="L56" i="12" s="1"/>
  <c r="M58" i="12"/>
  <c r="N58" i="12"/>
  <c r="O60" i="12"/>
  <c r="P60" i="12"/>
  <c r="L61" i="12"/>
  <c r="L59" i="12" s="1"/>
  <c r="O59" i="12" s="1"/>
  <c r="M61" i="12"/>
  <c r="N61" i="12"/>
  <c r="N59" i="12" s="1"/>
  <c r="L67" i="12"/>
  <c r="M67" i="12"/>
  <c r="N67" i="12"/>
  <c r="O67" i="12"/>
  <c r="O70" i="12"/>
  <c r="P70" i="12"/>
  <c r="L71" i="12"/>
  <c r="M71" i="12"/>
  <c r="M69" i="12" s="1"/>
  <c r="P69" i="12" s="1"/>
  <c r="N71" i="12"/>
  <c r="N69" i="12" s="1"/>
  <c r="O73" i="12"/>
  <c r="P73" i="12"/>
  <c r="L74" i="12"/>
  <c r="O74" i="12" s="1"/>
  <c r="M74" i="12"/>
  <c r="M72" i="12" s="1"/>
  <c r="P72" i="12" s="1"/>
  <c r="N74" i="12"/>
  <c r="N72" i="12" s="1"/>
  <c r="J76" i="12"/>
  <c r="J64" i="12" s="1"/>
  <c r="J77" i="12"/>
  <c r="J65" i="12" s="1"/>
  <c r="I78" i="12"/>
  <c r="I79" i="12"/>
  <c r="I80" i="12"/>
  <c r="K80" i="12" s="1"/>
  <c r="I81" i="12"/>
  <c r="K81" i="12" s="1"/>
  <c r="I82" i="12"/>
  <c r="K82" i="12" s="1"/>
  <c r="I83" i="12"/>
  <c r="K83" i="12" s="1"/>
  <c r="I84" i="12"/>
  <c r="K84" i="12" s="1"/>
  <c r="L89" i="12"/>
  <c r="O89" i="12" s="1"/>
  <c r="M89" i="12"/>
  <c r="P89" i="12" s="1"/>
  <c r="N89" i="12"/>
  <c r="O92" i="12"/>
  <c r="P92" i="12"/>
  <c r="L93" i="12"/>
  <c r="M93" i="12"/>
  <c r="N93" i="12"/>
  <c r="N91" i="12" s="1"/>
  <c r="O95" i="12"/>
  <c r="P95" i="12"/>
  <c r="L96" i="12"/>
  <c r="O96" i="12" s="1"/>
  <c r="M96" i="12"/>
  <c r="P96" i="12" s="1"/>
  <c r="N96" i="12"/>
  <c r="N94" i="12" s="1"/>
  <c r="I98" i="12"/>
  <c r="J98" i="12"/>
  <c r="J86" i="12" s="1"/>
  <c r="I99" i="12"/>
  <c r="I87" i="12" s="1"/>
  <c r="J99" i="12"/>
  <c r="J87" i="12" s="1"/>
  <c r="I100" i="12"/>
  <c r="K100" i="12" s="1"/>
  <c r="J100" i="12"/>
  <c r="I102" i="12"/>
  <c r="K102" i="12" s="1"/>
  <c r="I103" i="12"/>
  <c r="K103" i="12" s="1"/>
  <c r="I104" i="12"/>
  <c r="K104" i="12" s="1"/>
  <c r="I106" i="12"/>
  <c r="K106" i="12" s="1"/>
  <c r="I107" i="12"/>
  <c r="K107" i="12" s="1"/>
  <c r="I109" i="12"/>
  <c r="K109" i="12" s="1"/>
  <c r="I110" i="12"/>
  <c r="K110" i="12" s="1"/>
  <c r="I111" i="12"/>
  <c r="J111" i="12"/>
  <c r="J112" i="12"/>
  <c r="I113" i="12"/>
  <c r="K113" i="12" s="1"/>
  <c r="I114" i="12"/>
  <c r="K114" i="12" s="1"/>
  <c r="I115" i="12"/>
  <c r="I116" i="12"/>
  <c r="K116" i="12" s="1"/>
  <c r="L120" i="12"/>
  <c r="M120" i="12"/>
  <c r="N120" i="12"/>
  <c r="O123" i="12"/>
  <c r="P123" i="12"/>
  <c r="L124" i="12"/>
  <c r="O124" i="12" s="1"/>
  <c r="M124" i="12"/>
  <c r="N124" i="12"/>
  <c r="N122" i="12" s="1"/>
  <c r="O126" i="12"/>
  <c r="P126" i="12"/>
  <c r="L127" i="12"/>
  <c r="L125" i="12" s="1"/>
  <c r="O125" i="12" s="1"/>
  <c r="M127" i="12"/>
  <c r="N127" i="12"/>
  <c r="N125" i="12" s="1"/>
  <c r="J130" i="12"/>
  <c r="L133" i="12"/>
  <c r="M133" i="12"/>
  <c r="N133" i="12"/>
  <c r="O133" i="12"/>
  <c r="O136" i="12"/>
  <c r="P136" i="12"/>
  <c r="L137" i="12"/>
  <c r="M137" i="12"/>
  <c r="M135" i="12" s="1"/>
  <c r="N137" i="12"/>
  <c r="N135" i="12" s="1"/>
  <c r="O139" i="12"/>
  <c r="P139" i="12"/>
  <c r="L140" i="12"/>
  <c r="M140" i="12"/>
  <c r="M138" i="12" s="1"/>
  <c r="N140" i="12"/>
  <c r="N138" i="12" s="1"/>
  <c r="I144" i="12"/>
  <c r="K144" i="12" s="1"/>
  <c r="I145" i="12"/>
  <c r="I146" i="12"/>
  <c r="K146" i="12" s="1"/>
  <c r="J148" i="12"/>
  <c r="L150" i="12"/>
  <c r="M150" i="12"/>
  <c r="P150" i="12" s="1"/>
  <c r="N150" i="12"/>
  <c r="O153" i="12"/>
  <c r="P153" i="12"/>
  <c r="L154" i="12"/>
  <c r="L152" i="12" s="1"/>
  <c r="O152" i="12" s="1"/>
  <c r="M154" i="12"/>
  <c r="N154" i="12"/>
  <c r="O156" i="12"/>
  <c r="P156" i="12"/>
  <c r="L157" i="12"/>
  <c r="O157" i="12" s="1"/>
  <c r="M157" i="12"/>
  <c r="N157" i="12"/>
  <c r="N155" i="12" s="1"/>
  <c r="I159" i="12"/>
  <c r="I148" i="12" s="1"/>
  <c r="K148" i="12" s="1"/>
  <c r="L166" i="12"/>
  <c r="O166" i="12" s="1"/>
  <c r="M166" i="12"/>
  <c r="N166" i="12"/>
  <c r="P166" i="12"/>
  <c r="O169" i="12"/>
  <c r="P169" i="12"/>
  <c r="L170" i="12"/>
  <c r="L168" i="12" s="1"/>
  <c r="M170" i="12"/>
  <c r="N170" i="12"/>
  <c r="N168" i="12" s="1"/>
  <c r="O172" i="12"/>
  <c r="P172" i="12"/>
  <c r="L173" i="12"/>
  <c r="L171" i="12" s="1"/>
  <c r="O171" i="12" s="1"/>
  <c r="M173" i="12"/>
  <c r="P173" i="12" s="1"/>
  <c r="N173" i="12"/>
  <c r="N171" i="12" s="1"/>
  <c r="J174" i="12"/>
  <c r="I176" i="12"/>
  <c r="K176" i="12" s="1"/>
  <c r="J177" i="12"/>
  <c r="L182" i="12"/>
  <c r="M182" i="12"/>
  <c r="P182" i="12" s="1"/>
  <c r="N182" i="12"/>
  <c r="O185" i="12"/>
  <c r="P185" i="12"/>
  <c r="L186" i="12"/>
  <c r="M186" i="12"/>
  <c r="N186" i="12"/>
  <c r="N184" i="12" s="1"/>
  <c r="O188" i="12"/>
  <c r="P188" i="12"/>
  <c r="L189" i="12"/>
  <c r="O189" i="12" s="1"/>
  <c r="M189" i="12"/>
  <c r="P189" i="12" s="1"/>
  <c r="N189" i="12"/>
  <c r="N187" i="12" s="1"/>
  <c r="J190" i="12"/>
  <c r="L191" i="12"/>
  <c r="O191" i="12" s="1"/>
  <c r="P191" i="12"/>
  <c r="I193" i="12"/>
  <c r="J194" i="12"/>
  <c r="J197" i="12"/>
  <c r="N198" i="12"/>
  <c r="P198" i="12"/>
  <c r="L199" i="12"/>
  <c r="L200" i="12"/>
  <c r="L201" i="12"/>
  <c r="L202" i="12"/>
  <c r="I204" i="12"/>
  <c r="I197" i="12" s="1"/>
  <c r="K197" i="12" s="1"/>
  <c r="K206" i="12"/>
  <c r="K207" i="12"/>
  <c r="J208" i="12"/>
  <c r="N209" i="12"/>
  <c r="P209" i="12"/>
  <c r="L210" i="12"/>
  <c r="L211" i="12"/>
  <c r="L212" i="12"/>
  <c r="I214" i="12"/>
  <c r="K214" i="12" s="1"/>
  <c r="I215" i="12"/>
  <c r="K215" i="12" s="1"/>
  <c r="J216" i="12"/>
  <c r="N217" i="12"/>
  <c r="P217" i="12"/>
  <c r="L218" i="12"/>
  <c r="L219" i="12"/>
  <c r="L220" i="12"/>
  <c r="I223" i="12"/>
  <c r="K223" i="12" s="1"/>
  <c r="I224" i="12"/>
  <c r="I216" i="12" s="1"/>
  <c r="I225" i="12"/>
  <c r="K225" i="12" s="1"/>
  <c r="N228" i="12"/>
  <c r="N229" i="12"/>
  <c r="N230" i="12"/>
  <c r="N231" i="12"/>
  <c r="J233" i="12"/>
  <c r="I235" i="12"/>
  <c r="J235" i="12"/>
  <c r="K235" i="12"/>
  <c r="I236" i="12"/>
  <c r="K236" i="12" s="1"/>
  <c r="J236" i="12"/>
  <c r="J237" i="12"/>
  <c r="N238" i="12"/>
  <c r="N227" i="12" s="1"/>
  <c r="P238" i="12"/>
  <c r="L239" i="12"/>
  <c r="L240" i="12"/>
  <c r="L241" i="12"/>
  <c r="L242" i="12"/>
  <c r="I244" i="12"/>
  <c r="I237" i="12" s="1"/>
  <c r="K237" i="12" s="1"/>
  <c r="K246" i="12"/>
  <c r="K247" i="12"/>
  <c r="J248" i="12"/>
  <c r="N249" i="12"/>
  <c r="P249" i="12"/>
  <c r="L250" i="12"/>
  <c r="L251" i="12"/>
  <c r="L252" i="12"/>
  <c r="L253" i="12"/>
  <c r="I255" i="12"/>
  <c r="K257" i="12"/>
  <c r="K258" i="12"/>
  <c r="J260" i="12"/>
  <c r="L262" i="12"/>
  <c r="M262" i="12"/>
  <c r="N262" i="12"/>
  <c r="O265" i="12"/>
  <c r="P265" i="12"/>
  <c r="L266" i="12"/>
  <c r="L264" i="12" s="1"/>
  <c r="M266" i="12"/>
  <c r="N266" i="12"/>
  <c r="N264" i="12" s="1"/>
  <c r="O268" i="12"/>
  <c r="P268" i="12"/>
  <c r="L269" i="12"/>
  <c r="L267" i="12" s="1"/>
  <c r="O267" i="12" s="1"/>
  <c r="M269" i="12"/>
  <c r="N269" i="12"/>
  <c r="N267" i="12" s="1"/>
  <c r="I271" i="12"/>
  <c r="I260" i="12" s="1"/>
  <c r="K260" i="12" s="1"/>
  <c r="J276" i="12"/>
  <c r="L278" i="12"/>
  <c r="M278" i="12"/>
  <c r="N278" i="12"/>
  <c r="O278" i="12"/>
  <c r="O281" i="12"/>
  <c r="P281" i="12"/>
  <c r="L282" i="12"/>
  <c r="L280" i="12" s="1"/>
  <c r="O280" i="12" s="1"/>
  <c r="M282" i="12"/>
  <c r="M280" i="12" s="1"/>
  <c r="P280" i="12" s="1"/>
  <c r="N282" i="12"/>
  <c r="N280" i="12" s="1"/>
  <c r="O284" i="12"/>
  <c r="P284" i="12"/>
  <c r="L285" i="12"/>
  <c r="L283" i="12" s="1"/>
  <c r="O283" i="12" s="1"/>
  <c r="M285" i="12"/>
  <c r="N285" i="12"/>
  <c r="N283" i="12" s="1"/>
  <c r="I287" i="12"/>
  <c r="I276" i="12" s="1"/>
  <c r="K276" i="12" s="1"/>
  <c r="I288" i="12"/>
  <c r="I290" i="12"/>
  <c r="K290" i="12" s="1"/>
  <c r="I291" i="12"/>
  <c r="K291" i="12" s="1"/>
  <c r="I293" i="12"/>
  <c r="K293" i="12" s="1"/>
  <c r="I294" i="12"/>
  <c r="K294" i="12" s="1"/>
  <c r="J297" i="12"/>
  <c r="L299" i="12"/>
  <c r="O299" i="12" s="1"/>
  <c r="M299" i="12"/>
  <c r="N299" i="12"/>
  <c r="O302" i="12"/>
  <c r="P302" i="12"/>
  <c r="L303" i="12"/>
  <c r="M303" i="12"/>
  <c r="M301" i="12" s="1"/>
  <c r="N303" i="12"/>
  <c r="O305" i="12"/>
  <c r="P305" i="12"/>
  <c r="L306" i="12"/>
  <c r="M306" i="12"/>
  <c r="M304" i="12" s="1"/>
  <c r="P304" i="12" s="1"/>
  <c r="N306" i="12"/>
  <c r="N304" i="12" s="1"/>
  <c r="I309" i="12"/>
  <c r="I297" i="12" s="1"/>
  <c r="K297" i="12" s="1"/>
  <c r="I310" i="12"/>
  <c r="K310" i="12" s="1"/>
  <c r="I311" i="12"/>
  <c r="K311" i="12" s="1"/>
  <c r="I312" i="12"/>
  <c r="K312" i="12" s="1"/>
  <c r="J314" i="12"/>
  <c r="L316" i="12"/>
  <c r="M316" i="12"/>
  <c r="N316" i="12"/>
  <c r="O316" i="12"/>
  <c r="O319" i="12"/>
  <c r="P319" i="12"/>
  <c r="L320" i="12"/>
  <c r="M320" i="12"/>
  <c r="N320" i="12"/>
  <c r="N318" i="12" s="1"/>
  <c r="O322" i="12"/>
  <c r="P322" i="12"/>
  <c r="L323" i="12"/>
  <c r="O323" i="12" s="1"/>
  <c r="M323" i="12"/>
  <c r="M321" i="12" s="1"/>
  <c r="P321" i="12" s="1"/>
  <c r="N323" i="12"/>
  <c r="N321" i="12" s="1"/>
  <c r="I325" i="12"/>
  <c r="I314" i="12" s="1"/>
  <c r="K314" i="12" s="1"/>
  <c r="I327" i="12"/>
  <c r="L329" i="12"/>
  <c r="M329" i="12"/>
  <c r="N329" i="12"/>
  <c r="O329" i="12"/>
  <c r="O332" i="12"/>
  <c r="P332" i="12"/>
  <c r="L333" i="12"/>
  <c r="L331" i="12" s="1"/>
  <c r="M333" i="12"/>
  <c r="M331" i="12" s="1"/>
  <c r="N333" i="12"/>
  <c r="O335" i="12"/>
  <c r="P335" i="12"/>
  <c r="L336" i="12"/>
  <c r="L334" i="12" s="1"/>
  <c r="O334" i="12" s="1"/>
  <c r="M336" i="12"/>
  <c r="M334" i="12" s="1"/>
  <c r="P334" i="12" s="1"/>
  <c r="N336" i="12"/>
  <c r="N334" i="12" s="1"/>
  <c r="D337" i="12"/>
  <c r="I338" i="12"/>
  <c r="J338" i="12"/>
  <c r="I340" i="12"/>
  <c r="J340" i="12"/>
  <c r="J341" i="12"/>
  <c r="J342" i="12"/>
  <c r="J343" i="12"/>
  <c r="L346" i="12"/>
  <c r="M346" i="12"/>
  <c r="N346" i="12"/>
  <c r="P346" i="12"/>
  <c r="O349" i="12"/>
  <c r="P349" i="12"/>
  <c r="L350" i="12"/>
  <c r="M350" i="12"/>
  <c r="N350" i="12"/>
  <c r="N348" i="12" s="1"/>
  <c r="O352" i="12"/>
  <c r="P352" i="12"/>
  <c r="L353" i="12"/>
  <c r="L351" i="12" s="1"/>
  <c r="M353" i="12"/>
  <c r="N353" i="12"/>
  <c r="N351" i="12" s="1"/>
  <c r="I355" i="12"/>
  <c r="J358" i="12"/>
  <c r="K358" i="12"/>
  <c r="I359" i="12"/>
  <c r="J359" i="12"/>
  <c r="I360" i="12"/>
  <c r="J360" i="12"/>
  <c r="J361" i="12"/>
  <c r="K361" i="12"/>
  <c r="I362" i="12"/>
  <c r="J362" i="12"/>
  <c r="J363" i="12"/>
  <c r="K363" i="12"/>
  <c r="I365" i="12"/>
  <c r="J368" i="12"/>
  <c r="K368" i="12"/>
  <c r="I369" i="12"/>
  <c r="J369" i="12"/>
  <c r="I370" i="12"/>
  <c r="J370" i="12"/>
  <c r="J371" i="12"/>
  <c r="K371" i="12"/>
  <c r="I372" i="12"/>
  <c r="J372" i="12"/>
  <c r="J365" i="12" s="1"/>
  <c r="A373" i="12"/>
  <c r="J373" i="12"/>
  <c r="K373" i="12"/>
  <c r="I374" i="12"/>
  <c r="J377" i="12"/>
  <c r="K377" i="12"/>
  <c r="I378" i="12"/>
  <c r="J378" i="12"/>
  <c r="I379" i="12"/>
  <c r="J379" i="12"/>
  <c r="J380" i="12"/>
  <c r="K380" i="12"/>
  <c r="I381" i="12"/>
  <c r="J381" i="12"/>
  <c r="J374" i="12" s="1"/>
  <c r="A382" i="12"/>
  <c r="J382" i="12"/>
  <c r="K382" i="12"/>
  <c r="D384" i="12"/>
  <c r="I385" i="12"/>
  <c r="J385" i="12"/>
  <c r="I388" i="12"/>
  <c r="J388" i="12"/>
  <c r="K388" i="12"/>
  <c r="L390" i="12"/>
  <c r="M390" i="12"/>
  <c r="N390" i="12"/>
  <c r="O390" i="12"/>
  <c r="O393" i="12"/>
  <c r="P393" i="12"/>
  <c r="L394" i="12"/>
  <c r="M394" i="12"/>
  <c r="P394" i="12" s="1"/>
  <c r="N394" i="12"/>
  <c r="N392" i="12" s="1"/>
  <c r="O396" i="12"/>
  <c r="P396" i="12"/>
  <c r="L397" i="12"/>
  <c r="O397" i="12" s="1"/>
  <c r="M397" i="12"/>
  <c r="M395" i="12" s="1"/>
  <c r="P395" i="12" s="1"/>
  <c r="N397" i="12"/>
  <c r="N395" i="12" s="1"/>
  <c r="K399" i="12"/>
  <c r="K400" i="12"/>
  <c r="I401" i="12"/>
  <c r="K401" i="12" s="1"/>
  <c r="J401" i="12"/>
  <c r="L403" i="12"/>
  <c r="M403" i="12"/>
  <c r="N403" i="12"/>
  <c r="O403" i="12"/>
  <c r="O406" i="12"/>
  <c r="P406" i="12"/>
  <c r="L407" i="12"/>
  <c r="L405" i="12" s="1"/>
  <c r="O405" i="12" s="1"/>
  <c r="M407" i="12"/>
  <c r="M405" i="12" s="1"/>
  <c r="P405" i="12" s="1"/>
  <c r="N407" i="12"/>
  <c r="N405" i="12" s="1"/>
  <c r="O409" i="12"/>
  <c r="P409" i="12"/>
  <c r="L410" i="12"/>
  <c r="O410" i="12" s="1"/>
  <c r="M410" i="12"/>
  <c r="M408" i="12" s="1"/>
  <c r="P408" i="12" s="1"/>
  <c r="N410" i="12"/>
  <c r="N408" i="12" s="1"/>
  <c r="K412" i="12"/>
  <c r="K413" i="12"/>
  <c r="L420" i="12"/>
  <c r="O420" i="12" s="1"/>
  <c r="M420" i="12"/>
  <c r="N420" i="12"/>
  <c r="O423" i="12"/>
  <c r="P423" i="12"/>
  <c r="L424" i="12"/>
  <c r="M424" i="12" s="1"/>
  <c r="P424" i="12" s="1"/>
  <c r="N424" i="12"/>
  <c r="N422" i="12" s="1"/>
  <c r="M429" i="12"/>
  <c r="P429" i="12" s="1"/>
  <c r="N429" i="12"/>
  <c r="O430" i="12"/>
  <c r="P430" i="12"/>
  <c r="L431" i="12"/>
  <c r="O431" i="12" s="1"/>
  <c r="P431" i="12"/>
  <c r="J434" i="12"/>
  <c r="J418" i="12" s="1"/>
  <c r="I435" i="12"/>
  <c r="I433" i="12" s="1"/>
  <c r="I437" i="12"/>
  <c r="K437" i="12" s="1"/>
  <c r="I438" i="12"/>
  <c r="K438" i="12" s="1"/>
  <c r="I439" i="12"/>
  <c r="K439" i="12" s="1"/>
  <c r="I440" i="12"/>
  <c r="K440" i="12" s="1"/>
  <c r="I441" i="12"/>
  <c r="K441" i="12" s="1"/>
  <c r="J442" i="12"/>
  <c r="J443" i="12"/>
  <c r="L445" i="12"/>
  <c r="M445" i="12"/>
  <c r="P445" i="12" s="1"/>
  <c r="N445" i="12"/>
  <c r="N447" i="12"/>
  <c r="O448" i="12"/>
  <c r="P448" i="12"/>
  <c r="L449" i="12"/>
  <c r="L447" i="12" s="1"/>
  <c r="O447" i="12" s="1"/>
  <c r="N449" i="12"/>
  <c r="N446" i="12" s="1"/>
  <c r="M454" i="12"/>
  <c r="P454" i="12" s="1"/>
  <c r="N454" i="12"/>
  <c r="O455" i="12"/>
  <c r="P455" i="12"/>
  <c r="L456" i="12"/>
  <c r="O456" i="12" s="1"/>
  <c r="P456" i="12"/>
  <c r="K458" i="12"/>
  <c r="I460" i="12"/>
  <c r="I442" i="12" s="1"/>
  <c r="I462" i="12"/>
  <c r="K462" i="12" s="1"/>
  <c r="I463" i="12"/>
  <c r="I464" i="12"/>
  <c r="I465" i="12"/>
  <c r="J465" i="12"/>
  <c r="I466" i="12"/>
  <c r="J466" i="12"/>
  <c r="L468" i="12"/>
  <c r="M468" i="12"/>
  <c r="P468" i="12" s="1"/>
  <c r="N468" i="12"/>
  <c r="O471" i="12"/>
  <c r="P471" i="12"/>
  <c r="L472" i="12"/>
  <c r="M472" i="12" s="1"/>
  <c r="M469" i="12" s="1"/>
  <c r="N472" i="12"/>
  <c r="N469" i="12" s="1"/>
  <c r="M477" i="12"/>
  <c r="P477" i="12" s="1"/>
  <c r="N477" i="12"/>
  <c r="O478" i="12"/>
  <c r="P478" i="12"/>
  <c r="L479" i="12"/>
  <c r="L477" i="12" s="1"/>
  <c r="O477" i="12" s="1"/>
  <c r="P479" i="12"/>
  <c r="I483" i="12"/>
  <c r="K483" i="12" s="1"/>
  <c r="I485" i="12"/>
  <c r="K485" i="12" s="1"/>
  <c r="I487" i="12"/>
  <c r="K487" i="12" s="1"/>
  <c r="I489" i="12"/>
  <c r="K489" i="12" s="1"/>
  <c r="I492" i="12"/>
  <c r="K492" i="12" s="1"/>
  <c r="I495" i="12"/>
  <c r="K495" i="12" s="1"/>
  <c r="I498" i="12"/>
  <c r="K498" i="12" s="1"/>
  <c r="J500" i="12"/>
  <c r="K500" i="12"/>
  <c r="K501" i="12"/>
  <c r="L503" i="12"/>
  <c r="O503" i="12" s="1"/>
  <c r="M503" i="12"/>
  <c r="N503" i="12"/>
  <c r="L504" i="12"/>
  <c r="M504" i="12"/>
  <c r="P504" i="12" s="1"/>
  <c r="L505" i="12"/>
  <c r="O505" i="12" s="1"/>
  <c r="M505" i="12"/>
  <c r="P505" i="12" s="1"/>
  <c r="O506" i="12"/>
  <c r="P506" i="12"/>
  <c r="N507" i="12"/>
  <c r="O507" i="12"/>
  <c r="P507" i="12"/>
  <c r="L512" i="12"/>
  <c r="M512" i="12"/>
  <c r="N512" i="12"/>
  <c r="O512" i="12"/>
  <c r="P512" i="12"/>
  <c r="O513" i="12"/>
  <c r="P513" i="12"/>
  <c r="O514" i="12"/>
  <c r="P514" i="12"/>
  <c r="K516" i="12"/>
  <c r="J517" i="12"/>
  <c r="J501" i="12" s="1"/>
  <c r="K517" i="12"/>
  <c r="L524" i="12"/>
  <c r="M524" i="12"/>
  <c r="N524" i="12"/>
  <c r="O524" i="12"/>
  <c r="M525" i="12"/>
  <c r="P525" i="12" s="1"/>
  <c r="N525" i="12"/>
  <c r="M526" i="12"/>
  <c r="P526" i="12"/>
  <c r="O527" i="12"/>
  <c r="P527" i="12"/>
  <c r="L528" i="12"/>
  <c r="L526" i="12" s="1"/>
  <c r="O526" i="12" s="1"/>
  <c r="N528" i="12"/>
  <c r="N526" i="12" s="1"/>
  <c r="P528" i="12"/>
  <c r="M533" i="12"/>
  <c r="P533" i="12" s="1"/>
  <c r="N533" i="12"/>
  <c r="O534" i="12"/>
  <c r="P534" i="12"/>
  <c r="L535" i="12"/>
  <c r="O535" i="12" s="1"/>
  <c r="P535" i="12"/>
  <c r="I537" i="12"/>
  <c r="I538" i="12"/>
  <c r="K538" i="12" s="1"/>
  <c r="I539" i="12"/>
  <c r="K539" i="12" s="1"/>
  <c r="I540" i="12"/>
  <c r="K540" i="12" s="1"/>
  <c r="I541" i="12"/>
  <c r="K541" i="12" s="1"/>
  <c r="I542" i="12"/>
  <c r="K542" i="12" s="1"/>
  <c r="L545" i="12"/>
  <c r="O545" i="12"/>
  <c r="O548" i="12"/>
  <c r="P548" i="12"/>
  <c r="L549" i="12"/>
  <c r="N549" i="12"/>
  <c r="N547" i="12" s="1"/>
  <c r="M555" i="12"/>
  <c r="M545" i="12" s="1"/>
  <c r="N555" i="12"/>
  <c r="N545" i="12" s="1"/>
  <c r="O556" i="12"/>
  <c r="P556" i="12"/>
  <c r="L557" i="12"/>
  <c r="O557" i="12" s="1"/>
  <c r="P557" i="12"/>
  <c r="I560" i="12"/>
  <c r="K560" i="12" s="1"/>
  <c r="J560" i="12"/>
  <c r="I561" i="12"/>
  <c r="K561" i="12" s="1"/>
  <c r="J561" i="12"/>
  <c r="I568" i="12"/>
  <c r="K568" i="12" s="1"/>
  <c r="J568" i="12"/>
  <c r="I569" i="12"/>
  <c r="K569" i="12" s="1"/>
  <c r="J569" i="12"/>
  <c r="I576" i="12"/>
  <c r="I577" i="12"/>
  <c r="K577" i="12" s="1"/>
  <c r="J582" i="12"/>
  <c r="J576" i="12" s="1"/>
  <c r="J559" i="12" s="1"/>
  <c r="J543" i="12" s="1"/>
  <c r="J583" i="12"/>
  <c r="J577" i="12" s="1"/>
  <c r="I593" i="12"/>
  <c r="I592" i="12" s="1"/>
  <c r="I594" i="12"/>
  <c r="K594" i="12" s="1"/>
  <c r="J595" i="12"/>
  <c r="J593" i="12" s="1"/>
  <c r="J596" i="12"/>
  <c r="J594" i="12" s="1"/>
  <c r="J603" i="12"/>
  <c r="J604" i="12"/>
  <c r="J611" i="12"/>
  <c r="K611" i="12"/>
  <c r="J612" i="12"/>
  <c r="K612" i="12"/>
  <c r="J613" i="12"/>
  <c r="K613" i="12"/>
  <c r="I620" i="12"/>
  <c r="K620" i="12" s="1"/>
  <c r="J620" i="12"/>
  <c r="I621" i="12"/>
  <c r="K621" i="12" s="1"/>
  <c r="J621" i="12"/>
  <c r="L630" i="12"/>
  <c r="O630" i="12" s="1"/>
  <c r="M630" i="12"/>
  <c r="P630" i="12" s="1"/>
  <c r="N630" i="12"/>
  <c r="M631" i="12"/>
  <c r="P631" i="12" s="1"/>
  <c r="N631" i="12"/>
  <c r="M632" i="12"/>
  <c r="P632" i="12"/>
  <c r="O633" i="12"/>
  <c r="P633" i="12"/>
  <c r="L634" i="12"/>
  <c r="L632" i="12" s="1"/>
  <c r="O632" i="12" s="1"/>
  <c r="N634" i="12"/>
  <c r="N632" i="12" s="1"/>
  <c r="P634" i="12"/>
  <c r="M639" i="12"/>
  <c r="P639" i="12" s="1"/>
  <c r="N639" i="12"/>
  <c r="O640" i="12"/>
  <c r="P640" i="12"/>
  <c r="L641" i="12"/>
  <c r="O641" i="12" s="1"/>
  <c r="P641" i="12"/>
  <c r="I643" i="12"/>
  <c r="K643" i="12" s="1"/>
  <c r="I644" i="12"/>
  <c r="K644" i="12" s="1"/>
  <c r="J645" i="12"/>
  <c r="K645" i="12"/>
  <c r="J646" i="12"/>
  <c r="K646" i="12"/>
  <c r="I647" i="12"/>
  <c r="K647" i="12" s="1"/>
  <c r="J647" i="12"/>
  <c r="J648" i="12"/>
  <c r="K648" i="12"/>
  <c r="I649" i="12"/>
  <c r="K649" i="12" s="1"/>
  <c r="J649" i="12"/>
  <c r="J650" i="12"/>
  <c r="K650" i="12"/>
  <c r="I651" i="12"/>
  <c r="I628" i="12" s="1"/>
  <c r="K628" i="12" s="1"/>
  <c r="J651" i="12"/>
  <c r="J628" i="12" s="1"/>
  <c r="J652" i="12"/>
  <c r="K652" i="12"/>
  <c r="L656" i="12"/>
  <c r="O656" i="12" s="1"/>
  <c r="M656" i="12"/>
  <c r="P656" i="12" s="1"/>
  <c r="N656" i="12"/>
  <c r="O659" i="12"/>
  <c r="P659" i="12"/>
  <c r="L660" i="12"/>
  <c r="L658" i="12" s="1"/>
  <c r="N660" i="12"/>
  <c r="N657" i="12" s="1"/>
  <c r="N655" i="12" s="1"/>
  <c r="L665" i="12"/>
  <c r="O665" i="12" s="1"/>
  <c r="M665" i="12"/>
  <c r="N665" i="12"/>
  <c r="P665" i="12"/>
  <c r="O666" i="12"/>
  <c r="P666" i="12"/>
  <c r="O667" i="12"/>
  <c r="P667" i="12"/>
  <c r="I669" i="12"/>
  <c r="I654" i="12" s="1"/>
  <c r="I670" i="12"/>
  <c r="K670" i="12" s="1"/>
  <c r="I671" i="12"/>
  <c r="K671" i="12" s="1"/>
  <c r="J675" i="12"/>
  <c r="I678" i="12"/>
  <c r="K678" i="12" s="1"/>
  <c r="J678" i="12"/>
  <c r="J679" i="12"/>
  <c r="L686" i="12"/>
  <c r="O686" i="12" s="1"/>
  <c r="M686" i="12"/>
  <c r="P686" i="12" s="1"/>
  <c r="N686" i="12"/>
  <c r="L690" i="12"/>
  <c r="L687" i="12" s="1"/>
  <c r="L685" i="12" s="1"/>
  <c r="N690" i="12"/>
  <c r="N688" i="12" s="1"/>
  <c r="L695" i="12"/>
  <c r="O695" i="12" s="1"/>
  <c r="M695" i="12"/>
  <c r="P695" i="12" s="1"/>
  <c r="N695" i="12"/>
  <c r="O696" i="12"/>
  <c r="P696" i="12"/>
  <c r="O697" i="12"/>
  <c r="P697" i="12"/>
  <c r="I699" i="12"/>
  <c r="K699" i="12" s="1"/>
  <c r="J699" i="12"/>
  <c r="I700" i="12"/>
  <c r="J700" i="12"/>
  <c r="I701" i="12"/>
  <c r="K701" i="12" s="1"/>
  <c r="J701" i="12"/>
  <c r="I704" i="12"/>
  <c r="I707" i="12"/>
  <c r="I708" i="12"/>
  <c r="K708" i="12" s="1"/>
  <c r="J708" i="12"/>
  <c r="J718" i="12"/>
  <c r="J719" i="12"/>
  <c r="I720" i="12"/>
  <c r="K720" i="12" s="1"/>
  <c r="J720" i="12"/>
  <c r="I721" i="12"/>
  <c r="I722" i="12"/>
  <c r="I723" i="12"/>
  <c r="J723" i="12"/>
  <c r="J724" i="12"/>
  <c r="I725" i="12"/>
  <c r="J725" i="12"/>
  <c r="I726" i="12"/>
  <c r="J726" i="12"/>
  <c r="J727" i="12"/>
  <c r="I728" i="12"/>
  <c r="J728" i="12"/>
  <c r="I729" i="12"/>
  <c r="K729" i="12" s="1"/>
  <c r="J729" i="12"/>
  <c r="J736" i="12"/>
  <c r="K736" i="12"/>
  <c r="L738" i="12"/>
  <c r="M738" i="12"/>
  <c r="N738" i="12"/>
  <c r="O738" i="12"/>
  <c r="P738" i="12"/>
  <c r="L739" i="12"/>
  <c r="O739" i="12" s="1"/>
  <c r="M739" i="12"/>
  <c r="M737" i="12" s="1"/>
  <c r="P737" i="12" s="1"/>
  <c r="L740" i="12"/>
  <c r="O740" i="12" s="1"/>
  <c r="M740" i="12"/>
  <c r="P740" i="12"/>
  <c r="O741" i="12"/>
  <c r="P741" i="12"/>
  <c r="N742" i="12"/>
  <c r="N740" i="12" s="1"/>
  <c r="O742" i="12"/>
  <c r="P742" i="12"/>
  <c r="L747" i="12"/>
  <c r="O747" i="12" s="1"/>
  <c r="M747" i="12"/>
  <c r="P747" i="12" s="1"/>
  <c r="N747" i="12"/>
  <c r="O748" i="12"/>
  <c r="P748" i="12"/>
  <c r="O749" i="12"/>
  <c r="P749" i="12"/>
  <c r="J753" i="12"/>
  <c r="K753" i="12"/>
  <c r="L755" i="12"/>
  <c r="O755" i="12" s="1"/>
  <c r="M755" i="12"/>
  <c r="P755" i="12" s="1"/>
  <c r="N755" i="12"/>
  <c r="L756" i="12"/>
  <c r="M756" i="12"/>
  <c r="P756" i="12" s="1"/>
  <c r="O756" i="12"/>
  <c r="L757" i="12"/>
  <c r="O757" i="12" s="1"/>
  <c r="M757" i="12"/>
  <c r="P757" i="12"/>
  <c r="O758" i="12"/>
  <c r="P758" i="12"/>
  <c r="N759" i="12"/>
  <c r="N757" i="12" s="1"/>
  <c r="O759" i="12"/>
  <c r="P759" i="12"/>
  <c r="L764" i="12"/>
  <c r="O764" i="12" s="1"/>
  <c r="M764" i="12"/>
  <c r="P764" i="12" s="1"/>
  <c r="N764" i="12"/>
  <c r="O765" i="12"/>
  <c r="P765" i="12"/>
  <c r="O766" i="12"/>
  <c r="P766" i="12"/>
  <c r="J769" i="12"/>
  <c r="K769" i="12"/>
  <c r="L771" i="12"/>
  <c r="M771" i="12"/>
  <c r="N771" i="12"/>
  <c r="O771" i="12"/>
  <c r="P771" i="12"/>
  <c r="L772" i="12"/>
  <c r="O772" i="12" s="1"/>
  <c r="M772" i="12"/>
  <c r="M770" i="12" s="1"/>
  <c r="P770" i="12" s="1"/>
  <c r="L773" i="12"/>
  <c r="O773" i="12" s="1"/>
  <c r="M773" i="12"/>
  <c r="P773" i="12"/>
  <c r="O774" i="12"/>
  <c r="P774" i="12"/>
  <c r="N775" i="12"/>
  <c r="N773" i="12" s="1"/>
  <c r="O775" i="12"/>
  <c r="P775" i="12"/>
  <c r="L780" i="12"/>
  <c r="O780" i="12" s="1"/>
  <c r="M780" i="12"/>
  <c r="P780" i="12" s="1"/>
  <c r="N780" i="12"/>
  <c r="O781" i="12"/>
  <c r="P781" i="12"/>
  <c r="O782" i="12"/>
  <c r="P782" i="12"/>
  <c r="L787" i="12"/>
  <c r="M787" i="12"/>
  <c r="P787" i="12" s="1"/>
  <c r="N787" i="12"/>
  <c r="O787" i="12"/>
  <c r="M788" i="12"/>
  <c r="P788" i="12" s="1"/>
  <c r="M789" i="12"/>
  <c r="P789" i="12" s="1"/>
  <c r="O790" i="12"/>
  <c r="P790" i="12"/>
  <c r="L791" i="12"/>
  <c r="L788" i="12" s="1"/>
  <c r="N791" i="12"/>
  <c r="N789" i="12" s="1"/>
  <c r="P791" i="12"/>
  <c r="L796" i="12"/>
  <c r="O796" i="12" s="1"/>
  <c r="M796" i="12"/>
  <c r="N796" i="12"/>
  <c r="P796" i="12"/>
  <c r="O797" i="12"/>
  <c r="P797" i="12"/>
  <c r="O798" i="12"/>
  <c r="P798" i="12"/>
  <c r="I800" i="12"/>
  <c r="K800" i="12" s="1"/>
  <c r="J800" i="12"/>
  <c r="J785" i="12" s="1"/>
  <c r="J801" i="12"/>
  <c r="K802" i="12"/>
  <c r="J804" i="12"/>
  <c r="K804" i="12"/>
  <c r="L806" i="12"/>
  <c r="O806" i="12" s="1"/>
  <c r="M806" i="12"/>
  <c r="P806" i="12" s="1"/>
  <c r="N806" i="12"/>
  <c r="L807" i="12"/>
  <c r="M807" i="12"/>
  <c r="N807" i="12"/>
  <c r="N805" i="12" s="1"/>
  <c r="O807" i="12"/>
  <c r="P807" i="12"/>
  <c r="L808" i="12"/>
  <c r="M808" i="12"/>
  <c r="N808" i="12"/>
  <c r="O808" i="12"/>
  <c r="P808" i="12"/>
  <c r="O809" i="12"/>
  <c r="P809" i="12"/>
  <c r="N810" i="12"/>
  <c r="O810" i="12"/>
  <c r="P810" i="12"/>
  <c r="L815" i="12"/>
  <c r="O815" i="12" s="1"/>
  <c r="M815" i="12"/>
  <c r="P815" i="12" s="1"/>
  <c r="N815" i="12"/>
  <c r="O816" i="12"/>
  <c r="P816" i="12"/>
  <c r="O817" i="12"/>
  <c r="P817" i="12"/>
  <c r="H820" i="12"/>
  <c r="I821" i="12"/>
  <c r="J821" i="12"/>
  <c r="I822" i="12"/>
  <c r="J822" i="12"/>
  <c r="I823" i="12"/>
  <c r="J823" i="12"/>
  <c r="I824" i="12"/>
  <c r="J824" i="12"/>
  <c r="I825" i="12"/>
  <c r="J825" i="12"/>
  <c r="I826" i="12"/>
  <c r="J826" i="12"/>
  <c r="I827" i="12"/>
  <c r="J827" i="12"/>
  <c r="I828" i="12"/>
  <c r="J828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O791" i="11" s="1"/>
  <c r="P790" i="11"/>
  <c r="O790" i="11"/>
  <c r="P789" i="11"/>
  <c r="N789" i="11"/>
  <c r="M789" i="11"/>
  <c r="L789" i="11"/>
  <c r="O789" i="11" s="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O690" i="11" s="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N658" i="11"/>
  <c r="M658" i="11"/>
  <c r="P658" i="11" s="1"/>
  <c r="P657" i="11"/>
  <c r="N657" i="11"/>
  <c r="M657" i="11"/>
  <c r="O656" i="11"/>
  <c r="N656" i="11"/>
  <c r="M656" i="11"/>
  <c r="M655" i="11" s="1"/>
  <c r="P655" i="11" s="1"/>
  <c r="L656" i="11"/>
  <c r="N655" i="11"/>
  <c r="K652" i="11"/>
  <c r="J652" i="11"/>
  <c r="A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8" i="11"/>
  <c r="N637" i="11"/>
  <c r="N634" i="11"/>
  <c r="N632" i="11" s="1"/>
  <c r="L634" i="11"/>
  <c r="O634" i="11" s="1"/>
  <c r="P633" i="11"/>
  <c r="O633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I592" i="11" s="1"/>
  <c r="J583" i="11"/>
  <c r="J582" i="11"/>
  <c r="J576" i="11" s="1"/>
  <c r="J559" i="11" s="1"/>
  <c r="J543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P555" i="11" s="1"/>
  <c r="N553" i="11"/>
  <c r="N552" i="11"/>
  <c r="N551" i="11"/>
  <c r="N549" i="11"/>
  <c r="L549" i="11"/>
  <c r="L547" i="11" s="1"/>
  <c r="P548" i="11"/>
  <c r="O548" i="11"/>
  <c r="N545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I537" i="11"/>
  <c r="K537" i="11" s="1"/>
  <c r="P535" i="11"/>
  <c r="L535" i="11"/>
  <c r="P534" i="11"/>
  <c r="O534" i="11"/>
  <c r="N533" i="11"/>
  <c r="M533" i="11"/>
  <c r="P533" i="11" s="1"/>
  <c r="P528" i="11"/>
  <c r="N528" i="11"/>
  <c r="N525" i="11" s="1"/>
  <c r="L528" i="11"/>
  <c r="O528" i="11" s="1"/>
  <c r="P527" i="11"/>
  <c r="O527" i="11"/>
  <c r="N526" i="11"/>
  <c r="M526" i="11"/>
  <c r="P526" i="11" s="1"/>
  <c r="M525" i="11"/>
  <c r="P525" i="11" s="1"/>
  <c r="P524" i="11"/>
  <c r="N524" i="11"/>
  <c r="N523" i="11" s="1"/>
  <c r="M524" i="11"/>
  <c r="L524" i="11"/>
  <c r="M523" i="11"/>
  <c r="P523" i="11" s="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N504" i="11" s="1"/>
  <c r="P506" i="11"/>
  <c r="O506" i="11"/>
  <c r="P505" i="11"/>
  <c r="N505" i="11"/>
  <c r="M505" i="11"/>
  <c r="L505" i="11"/>
  <c r="O505" i="11" s="1"/>
  <c r="P504" i="11"/>
  <c r="M504" i="11"/>
  <c r="L504" i="11"/>
  <c r="O504" i="11" s="1"/>
  <c r="P503" i="11"/>
  <c r="N503" i="11"/>
  <c r="N502" i="11" s="1"/>
  <c r="M503" i="11"/>
  <c r="L503" i="11"/>
  <c r="L502" i="11" s="1"/>
  <c r="O502" i="11" s="1"/>
  <c r="M502" i="11"/>
  <c r="P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N477" i="11"/>
  <c r="M477" i="11"/>
  <c r="P477" i="11" s="1"/>
  <c r="N476" i="11"/>
  <c r="N473" i="11"/>
  <c r="N472" i="11"/>
  <c r="L472" i="11"/>
  <c r="L470" i="11" s="1"/>
  <c r="P471" i="11"/>
  <c r="O471" i="11"/>
  <c r="N468" i="11"/>
  <c r="M468" i="11"/>
  <c r="L468" i="11"/>
  <c r="O468" i="11" s="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I442" i="11" s="1"/>
  <c r="K442" i="11" s="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L449" i="11"/>
  <c r="O449" i="11" s="1"/>
  <c r="P448" i="11"/>
  <c r="O448" i="11"/>
  <c r="P447" i="11"/>
  <c r="N447" i="11"/>
  <c r="M447" i="11"/>
  <c r="P446" i="11"/>
  <c r="N446" i="11"/>
  <c r="M446" i="11"/>
  <c r="P445" i="11"/>
  <c r="O445" i="11"/>
  <c r="N445" i="11"/>
  <c r="M445" i="11"/>
  <c r="M444" i="11" s="1"/>
  <c r="P444" i="11" s="1"/>
  <c r="L445" i="11"/>
  <c r="N444" i="1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O431" i="11" s="1"/>
  <c r="P430" i="11"/>
  <c r="O430" i="11"/>
  <c r="P429" i="11"/>
  <c r="N429" i="11"/>
  <c r="M429" i="11"/>
  <c r="N428" i="11"/>
  <c r="N424" i="11" s="1"/>
  <c r="N425" i="11"/>
  <c r="L424" i="11"/>
  <c r="L422" i="11" s="1"/>
  <c r="P423" i="11"/>
  <c r="O423" i="11"/>
  <c r="N420" i="11"/>
  <c r="M420" i="11"/>
  <c r="P420" i="11" s="1"/>
  <c r="L420" i="11"/>
  <c r="O420" i="11" s="1"/>
  <c r="J418" i="11"/>
  <c r="K413" i="11"/>
  <c r="K412" i="11"/>
  <c r="N410" i="1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O407" i="11" s="1"/>
  <c r="P406" i="11"/>
  <c r="O406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O397" i="11" s="1"/>
  <c r="P396" i="11"/>
  <c r="O396" i="11"/>
  <c r="N394" i="11"/>
  <c r="N392" i="11" s="1"/>
  <c r="M394" i="11"/>
  <c r="L394" i="11"/>
  <c r="L392" i="11" s="1"/>
  <c r="O392" i="11" s="1"/>
  <c r="P393" i="11"/>
  <c r="O393" i="11"/>
  <c r="O390" i="11"/>
  <c r="N390" i="11"/>
  <c r="M390" i="11"/>
  <c r="L390" i="11"/>
  <c r="K388" i="11"/>
  <c r="J388" i="11"/>
  <c r="I388" i="11"/>
  <c r="J385" i="11"/>
  <c r="I385" i="11"/>
  <c r="D384" i="11"/>
  <c r="K382" i="11"/>
  <c r="J382" i="11"/>
  <c r="A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A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N348" i="11" s="1"/>
  <c r="M350" i="11"/>
  <c r="M348" i="11" s="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D337" i="11"/>
  <c r="N336" i="11"/>
  <c r="N334" i="11" s="1"/>
  <c r="M336" i="11"/>
  <c r="P336" i="11" s="1"/>
  <c r="L336" i="11"/>
  <c r="O336" i="11" s="1"/>
  <c r="P335" i="11"/>
  <c r="O335" i="11"/>
  <c r="N333" i="11"/>
  <c r="M333" i="11"/>
  <c r="L333" i="11"/>
  <c r="L331" i="11" s="1"/>
  <c r="P332" i="11"/>
  <c r="O332" i="11"/>
  <c r="O329" i="11"/>
  <c r="N329" i="11"/>
  <c r="M329" i="11"/>
  <c r="P329" i="11" s="1"/>
  <c r="L329" i="11"/>
  <c r="I327" i="11"/>
  <c r="I325" i="11"/>
  <c r="K325" i="11" s="1"/>
  <c r="N323" i="11"/>
  <c r="N321" i="11" s="1"/>
  <c r="M323" i="11"/>
  <c r="M321" i="11" s="1"/>
  <c r="P321" i="11" s="1"/>
  <c r="L323" i="11"/>
  <c r="O323" i="11" s="1"/>
  <c r="P322" i="11"/>
  <c r="O322" i="11"/>
  <c r="N320" i="11"/>
  <c r="N318" i="11" s="1"/>
  <c r="M320" i="11"/>
  <c r="P320" i="11" s="1"/>
  <c r="L320" i="11"/>
  <c r="O320" i="11" s="1"/>
  <c r="P319" i="11"/>
  <c r="O319" i="11"/>
  <c r="P316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L304" i="11" s="1"/>
  <c r="O304" i="11" s="1"/>
  <c r="P305" i="11"/>
  <c r="O305" i="11"/>
  <c r="N303" i="11"/>
  <c r="N301" i="11" s="1"/>
  <c r="M303" i="11"/>
  <c r="L303" i="11"/>
  <c r="O303" i="11" s="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L283" i="11" s="1"/>
  <c r="O283" i="11" s="1"/>
  <c r="P284" i="11"/>
  <c r="O284" i="11"/>
  <c r="N282" i="11"/>
  <c r="N280" i="11" s="1"/>
  <c r="M282" i="11"/>
  <c r="M280" i="11" s="1"/>
  <c r="P280" i="11" s="1"/>
  <c r="L282" i="11"/>
  <c r="O282" i="11" s="1"/>
  <c r="P281" i="11"/>
  <c r="O281" i="11"/>
  <c r="P278" i="11"/>
  <c r="O278" i="11"/>
  <c r="N278" i="11"/>
  <c r="M278" i="11"/>
  <c r="L278" i="11"/>
  <c r="J276" i="11"/>
  <c r="I271" i="11"/>
  <c r="K271" i="11" s="1"/>
  <c r="N269" i="11"/>
  <c r="N267" i="11" s="1"/>
  <c r="M269" i="11"/>
  <c r="L269" i="11"/>
  <c r="P268" i="11"/>
  <c r="O268" i="11"/>
  <c r="N266" i="11"/>
  <c r="M266" i="11"/>
  <c r="M264" i="11" s="1"/>
  <c r="L266" i="11"/>
  <c r="L264" i="11" s="1"/>
  <c r="P265" i="11"/>
  <c r="O265" i="11"/>
  <c r="O262" i="11"/>
  <c r="N262" i="11"/>
  <c r="M262" i="11"/>
  <c r="P262" i="11" s="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N227" i="11" s="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I216" i="11" s="1"/>
  <c r="K216" i="11" s="1"/>
  <c r="I223" i="11"/>
  <c r="K223" i="11" s="1"/>
  <c r="L220" i="11"/>
  <c r="L219" i="11"/>
  <c r="N218" i="11"/>
  <c r="N217" i="11" s="1"/>
  <c r="L218" i="11"/>
  <c r="P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N184" i="11" s="1"/>
  <c r="M186" i="11"/>
  <c r="M184" i="11" s="1"/>
  <c r="L186" i="11"/>
  <c r="L184" i="11" s="1"/>
  <c r="P185" i="11"/>
  <c r="O185" i="11"/>
  <c r="N182" i="11"/>
  <c r="M182" i="11"/>
  <c r="P182" i="11" s="1"/>
  <c r="L182" i="11"/>
  <c r="O182" i="11" s="1"/>
  <c r="J177" i="11"/>
  <c r="I176" i="11"/>
  <c r="I174" i="11" s="1"/>
  <c r="I164" i="11" s="1"/>
  <c r="J174" i="11"/>
  <c r="J164" i="11" s="1"/>
  <c r="N173" i="11"/>
  <c r="N171" i="11" s="1"/>
  <c r="M173" i="11"/>
  <c r="L173" i="11"/>
  <c r="L171" i="11" s="1"/>
  <c r="O171" i="11" s="1"/>
  <c r="P172" i="11"/>
  <c r="O172" i="11"/>
  <c r="N170" i="11"/>
  <c r="N168" i="11" s="1"/>
  <c r="M170" i="11"/>
  <c r="L170" i="11"/>
  <c r="L168" i="11" s="1"/>
  <c r="P169" i="11"/>
  <c r="O169" i="11"/>
  <c r="N166" i="11"/>
  <c r="M166" i="11"/>
  <c r="P166" i="11" s="1"/>
  <c r="L166" i="11"/>
  <c r="I159" i="1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M152" i="11" s="1"/>
  <c r="L154" i="11"/>
  <c r="P153" i="11"/>
  <c r="O153" i="11"/>
  <c r="O150" i="11"/>
  <c r="N150" i="11"/>
  <c r="M150" i="11"/>
  <c r="P150" i="11" s="1"/>
  <c r="L150" i="11"/>
  <c r="J148" i="11"/>
  <c r="I146" i="11"/>
  <c r="K146" i="11" s="1"/>
  <c r="I145" i="11"/>
  <c r="I143" i="11" s="1"/>
  <c r="K143" i="11" s="1"/>
  <c r="I144" i="11"/>
  <c r="K144" i="11" s="1"/>
  <c r="N140" i="11"/>
  <c r="N138" i="11" s="1"/>
  <c r="M140" i="11"/>
  <c r="P140" i="11" s="1"/>
  <c r="L140" i="11"/>
  <c r="O140" i="11" s="1"/>
  <c r="P139" i="11"/>
  <c r="O139" i="11"/>
  <c r="N137" i="11"/>
  <c r="N135" i="11" s="1"/>
  <c r="M137" i="11"/>
  <c r="P137" i="11" s="1"/>
  <c r="L137" i="11"/>
  <c r="O137" i="11" s="1"/>
  <c r="P136" i="11"/>
  <c r="O136" i="11"/>
  <c r="N133" i="11"/>
  <c r="M133" i="11"/>
  <c r="L133" i="11"/>
  <c r="O133" i="11" s="1"/>
  <c r="J130" i="11"/>
  <c r="N127" i="11"/>
  <c r="N125" i="11" s="1"/>
  <c r="M127" i="11"/>
  <c r="P127" i="11" s="1"/>
  <c r="L127" i="11"/>
  <c r="O127" i="11" s="1"/>
  <c r="P126" i="11"/>
  <c r="O126" i="11"/>
  <c r="N124" i="11"/>
  <c r="N122" i="11" s="1"/>
  <c r="M124" i="11"/>
  <c r="P124" i="11" s="1"/>
  <c r="L124" i="11"/>
  <c r="O124" i="11" s="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I98" i="11"/>
  <c r="K98" i="11" s="1"/>
  <c r="N96" i="11"/>
  <c r="N94" i="11" s="1"/>
  <c r="M96" i="11"/>
  <c r="L96" i="11"/>
  <c r="L94" i="11" s="1"/>
  <c r="O94" i="11" s="1"/>
  <c r="P95" i="11"/>
  <c r="O95" i="11"/>
  <c r="N93" i="11"/>
  <c r="N91" i="11" s="1"/>
  <c r="M93" i="11"/>
  <c r="L93" i="11"/>
  <c r="L91" i="11" s="1"/>
  <c r="P92" i="11"/>
  <c r="O92" i="11"/>
  <c r="N89" i="11"/>
  <c r="M89" i="11"/>
  <c r="P89" i="11" s="1"/>
  <c r="L89" i="11"/>
  <c r="J87" i="11"/>
  <c r="J86" i="11"/>
  <c r="I84" i="11"/>
  <c r="K84" i="11" s="1"/>
  <c r="I83" i="11"/>
  <c r="K83" i="11" s="1"/>
  <c r="I82" i="11"/>
  <c r="K82" i="11" s="1"/>
  <c r="I81" i="11"/>
  <c r="I80" i="11"/>
  <c r="K80" i="11" s="1"/>
  <c r="I79" i="11"/>
  <c r="K79" i="11" s="1"/>
  <c r="I78" i="11"/>
  <c r="K78" i="11" s="1"/>
  <c r="J77" i="11"/>
  <c r="J76" i="11"/>
  <c r="N74" i="11"/>
  <c r="N72" i="11" s="1"/>
  <c r="M74" i="11"/>
  <c r="P74" i="11" s="1"/>
  <c r="L74" i="11"/>
  <c r="O74" i="11" s="1"/>
  <c r="P73" i="11"/>
  <c r="O73" i="11"/>
  <c r="N71" i="11"/>
  <c r="M71" i="11"/>
  <c r="L71" i="11"/>
  <c r="L69" i="11" s="1"/>
  <c r="O69" i="11" s="1"/>
  <c r="P70" i="11"/>
  <c r="O70" i="11"/>
  <c r="P67" i="11"/>
  <c r="O67" i="11"/>
  <c r="N67" i="11"/>
  <c r="M67" i="11"/>
  <c r="L67" i="11"/>
  <c r="J65" i="11"/>
  <c r="J64" i="11"/>
  <c r="N61" i="11"/>
  <c r="N59" i="11" s="1"/>
  <c r="M61" i="11"/>
  <c r="M59" i="11" s="1"/>
  <c r="L61" i="11"/>
  <c r="O61" i="11" s="1"/>
  <c r="P60" i="11"/>
  <c r="O60" i="11"/>
  <c r="N58" i="11"/>
  <c r="N56" i="11" s="1"/>
  <c r="M58" i="11"/>
  <c r="M56" i="11" s="1"/>
  <c r="L58" i="11"/>
  <c r="P57" i="11"/>
  <c r="O57" i="11"/>
  <c r="N54" i="11"/>
  <c r="M54" i="11"/>
  <c r="P54" i="11" s="1"/>
  <c r="L54" i="11"/>
  <c r="O54" i="11" s="1"/>
  <c r="N49" i="11"/>
  <c r="M49" i="11"/>
  <c r="P49" i="11" s="1"/>
  <c r="L49" i="11"/>
  <c r="P48" i="11"/>
  <c r="O48" i="11"/>
  <c r="N46" i="11"/>
  <c r="M46" i="11"/>
  <c r="M44" i="11" s="1"/>
  <c r="L46" i="11"/>
  <c r="P45" i="11"/>
  <c r="O45" i="11"/>
  <c r="P42" i="11"/>
  <c r="O42" i="11"/>
  <c r="N42" i="11"/>
  <c r="M42" i="11"/>
  <c r="L42" i="11"/>
  <c r="N36" i="11"/>
  <c r="N34" i="11" s="1"/>
  <c r="M36" i="11"/>
  <c r="P36" i="11" s="1"/>
  <c r="N35" i="11"/>
  <c r="M35" i="11"/>
  <c r="M29" i="11" s="1"/>
  <c r="L35" i="11"/>
  <c r="O35" i="11" s="1"/>
  <c r="N33" i="11"/>
  <c r="P32" i="11"/>
  <c r="O32" i="11"/>
  <c r="N32" i="11"/>
  <c r="N29" i="11" s="1"/>
  <c r="M32" i="11"/>
  <c r="L32" i="11"/>
  <c r="N31" i="11"/>
  <c r="L29" i="11"/>
  <c r="O29" i="11" s="1"/>
  <c r="P25" i="11"/>
  <c r="O25" i="11"/>
  <c r="N25" i="11"/>
  <c r="N15" i="11" s="1"/>
  <c r="M25" i="11"/>
  <c r="L25" i="11"/>
  <c r="N22" i="11"/>
  <c r="M22" i="11"/>
  <c r="L22" i="11"/>
  <c r="O22" i="11" s="1"/>
  <c r="N19" i="11"/>
  <c r="L15" i="11"/>
  <c r="O15" i="11" s="1"/>
  <c r="N12" i="11"/>
  <c r="N9" i="11" s="1"/>
  <c r="L22" i="10"/>
  <c r="O22" i="10" s="1"/>
  <c r="M22" i="10"/>
  <c r="M12" i="10" s="1"/>
  <c r="N22" i="10"/>
  <c r="L25" i="10"/>
  <c r="M25" i="10"/>
  <c r="P25" i="10" s="1"/>
  <c r="N25" i="10"/>
  <c r="L32" i="10"/>
  <c r="L12" i="10" s="1"/>
  <c r="M32" i="10"/>
  <c r="N32" i="10"/>
  <c r="P32" i="10"/>
  <c r="L35" i="10"/>
  <c r="M35" i="10"/>
  <c r="N35" i="10"/>
  <c r="O35" i="10"/>
  <c r="M36" i="10"/>
  <c r="M34" i="10" s="1"/>
  <c r="P34" i="10" s="1"/>
  <c r="N36" i="10"/>
  <c r="P36" i="10"/>
  <c r="L42" i="10"/>
  <c r="M42" i="10"/>
  <c r="N42" i="10"/>
  <c r="O42" i="10"/>
  <c r="O45" i="10"/>
  <c r="P45" i="10"/>
  <c r="L46" i="10"/>
  <c r="M46" i="10"/>
  <c r="M44" i="10" s="1"/>
  <c r="N46" i="10"/>
  <c r="O48" i="10"/>
  <c r="P48" i="10"/>
  <c r="L49" i="10"/>
  <c r="O49" i="10" s="1"/>
  <c r="M49" i="10"/>
  <c r="M47" i="10" s="1"/>
  <c r="P47" i="10" s="1"/>
  <c r="N49" i="10"/>
  <c r="N47" i="10" s="1"/>
  <c r="L54" i="10"/>
  <c r="M54" i="10"/>
  <c r="P54" i="10" s="1"/>
  <c r="N54" i="10"/>
  <c r="O57" i="10"/>
  <c r="P57" i="10"/>
  <c r="L58" i="10"/>
  <c r="L56" i="10" s="1"/>
  <c r="M58" i="10"/>
  <c r="N58" i="10"/>
  <c r="O60" i="10"/>
  <c r="P60" i="10"/>
  <c r="L61" i="10"/>
  <c r="L59" i="10" s="1"/>
  <c r="O59" i="10" s="1"/>
  <c r="M61" i="10"/>
  <c r="N61" i="10"/>
  <c r="N59" i="10" s="1"/>
  <c r="L67" i="10"/>
  <c r="M67" i="10"/>
  <c r="N67" i="10"/>
  <c r="O67" i="10"/>
  <c r="O70" i="10"/>
  <c r="P70" i="10"/>
  <c r="L71" i="10"/>
  <c r="M71" i="10"/>
  <c r="M69" i="10" s="1"/>
  <c r="P69" i="10" s="1"/>
  <c r="N71" i="10"/>
  <c r="N69" i="10" s="1"/>
  <c r="O73" i="10"/>
  <c r="P73" i="10"/>
  <c r="L74" i="10"/>
  <c r="O74" i="10" s="1"/>
  <c r="M74" i="10"/>
  <c r="M72" i="10" s="1"/>
  <c r="P72" i="10" s="1"/>
  <c r="N74" i="10"/>
  <c r="N72" i="10" s="1"/>
  <c r="J76" i="10"/>
  <c r="J64" i="10" s="1"/>
  <c r="J77" i="10"/>
  <c r="J65" i="10" s="1"/>
  <c r="I78" i="10"/>
  <c r="K78" i="10" s="1"/>
  <c r="I79" i="10"/>
  <c r="I80" i="10"/>
  <c r="K80" i="10" s="1"/>
  <c r="I81" i="10"/>
  <c r="K81" i="10" s="1"/>
  <c r="I82" i="10"/>
  <c r="K82" i="10" s="1"/>
  <c r="I83" i="10"/>
  <c r="K83" i="10" s="1"/>
  <c r="I84" i="10"/>
  <c r="K84" i="10" s="1"/>
  <c r="L89" i="10"/>
  <c r="O89" i="10" s="1"/>
  <c r="M89" i="10"/>
  <c r="P89" i="10" s="1"/>
  <c r="N89" i="10"/>
  <c r="O92" i="10"/>
  <c r="P92" i="10"/>
  <c r="L93" i="10"/>
  <c r="M93" i="10"/>
  <c r="N93" i="10"/>
  <c r="N91" i="10" s="1"/>
  <c r="O95" i="10"/>
  <c r="P95" i="10"/>
  <c r="L96" i="10"/>
  <c r="L94" i="10" s="1"/>
  <c r="O94" i="10" s="1"/>
  <c r="M96" i="10"/>
  <c r="P96" i="10" s="1"/>
  <c r="N96" i="10"/>
  <c r="N94" i="10" s="1"/>
  <c r="I98" i="10"/>
  <c r="J98" i="10"/>
  <c r="J86" i="10" s="1"/>
  <c r="I99" i="10"/>
  <c r="I87" i="10" s="1"/>
  <c r="J99" i="10"/>
  <c r="J87" i="10" s="1"/>
  <c r="I100" i="10"/>
  <c r="K100" i="10" s="1"/>
  <c r="J100" i="10"/>
  <c r="I102" i="10"/>
  <c r="K102" i="10" s="1"/>
  <c r="I103" i="10"/>
  <c r="K103" i="10" s="1"/>
  <c r="I104" i="10"/>
  <c r="K104" i="10" s="1"/>
  <c r="I106" i="10"/>
  <c r="K106" i="10" s="1"/>
  <c r="I107" i="10"/>
  <c r="K107" i="10" s="1"/>
  <c r="I109" i="10"/>
  <c r="K109" i="10" s="1"/>
  <c r="I110" i="10"/>
  <c r="K110" i="10" s="1"/>
  <c r="I111" i="10"/>
  <c r="J111" i="10"/>
  <c r="J112" i="10"/>
  <c r="I113" i="10"/>
  <c r="K113" i="10" s="1"/>
  <c r="I114" i="10"/>
  <c r="K114" i="10" s="1"/>
  <c r="I115" i="10"/>
  <c r="I116" i="10"/>
  <c r="K116" i="10" s="1"/>
  <c r="L120" i="10"/>
  <c r="M120" i="10"/>
  <c r="N120" i="10"/>
  <c r="P120" i="10"/>
  <c r="O123" i="10"/>
  <c r="P123" i="10"/>
  <c r="L124" i="10"/>
  <c r="M124" i="10"/>
  <c r="N124" i="10"/>
  <c r="N122" i="10" s="1"/>
  <c r="O126" i="10"/>
  <c r="P126" i="10"/>
  <c r="L127" i="10"/>
  <c r="L125" i="10" s="1"/>
  <c r="O125" i="10" s="1"/>
  <c r="M127" i="10"/>
  <c r="M125" i="10" s="1"/>
  <c r="P125" i="10" s="1"/>
  <c r="N127" i="10"/>
  <c r="N125" i="10" s="1"/>
  <c r="J130" i="10"/>
  <c r="L133" i="10"/>
  <c r="O133" i="10" s="1"/>
  <c r="M133" i="10"/>
  <c r="N133" i="10"/>
  <c r="O136" i="10"/>
  <c r="P136" i="10"/>
  <c r="L137" i="10"/>
  <c r="M137" i="10"/>
  <c r="M135" i="10" s="1"/>
  <c r="P135" i="10" s="1"/>
  <c r="N137" i="10"/>
  <c r="N135" i="10" s="1"/>
  <c r="O139" i="10"/>
  <c r="P139" i="10"/>
  <c r="L140" i="10"/>
  <c r="M140" i="10"/>
  <c r="M138" i="10" s="1"/>
  <c r="P138" i="10" s="1"/>
  <c r="N140" i="10"/>
  <c r="N138" i="10" s="1"/>
  <c r="I144" i="10"/>
  <c r="I145" i="10"/>
  <c r="I146" i="10"/>
  <c r="I130" i="10" s="1"/>
  <c r="K130" i="10" s="1"/>
  <c r="J148" i="10"/>
  <c r="L150" i="10"/>
  <c r="M150" i="10"/>
  <c r="P150" i="10" s="1"/>
  <c r="N150" i="10"/>
  <c r="O150" i="10"/>
  <c r="O153" i="10"/>
  <c r="P153" i="10"/>
  <c r="L154" i="10"/>
  <c r="M154" i="10"/>
  <c r="N154" i="10"/>
  <c r="N152" i="10" s="1"/>
  <c r="O156" i="10"/>
  <c r="P156" i="10"/>
  <c r="L157" i="10"/>
  <c r="L155" i="10" s="1"/>
  <c r="O155" i="10" s="1"/>
  <c r="M157" i="10"/>
  <c r="M155" i="10" s="1"/>
  <c r="P155" i="10" s="1"/>
  <c r="N157" i="10"/>
  <c r="N155" i="10" s="1"/>
  <c r="I159" i="10"/>
  <c r="K159" i="10" s="1"/>
  <c r="L166" i="10"/>
  <c r="O166" i="10" s="1"/>
  <c r="M166" i="10"/>
  <c r="N166" i="10"/>
  <c r="O169" i="10"/>
  <c r="P169" i="10"/>
  <c r="L170" i="10"/>
  <c r="L168" i="10" s="1"/>
  <c r="M170" i="10"/>
  <c r="N170" i="10"/>
  <c r="O172" i="10"/>
  <c r="P172" i="10"/>
  <c r="L173" i="10"/>
  <c r="L171" i="10" s="1"/>
  <c r="O171" i="10" s="1"/>
  <c r="M173" i="10"/>
  <c r="P173" i="10" s="1"/>
  <c r="N173" i="10"/>
  <c r="N171" i="10" s="1"/>
  <c r="J174" i="10"/>
  <c r="I176" i="10"/>
  <c r="K176" i="10" s="1"/>
  <c r="J177" i="10"/>
  <c r="L182" i="10"/>
  <c r="O182" i="10" s="1"/>
  <c r="M182" i="10"/>
  <c r="P182" i="10" s="1"/>
  <c r="N182" i="10"/>
  <c r="O185" i="10"/>
  <c r="P185" i="10"/>
  <c r="L186" i="10"/>
  <c r="L184" i="10" s="1"/>
  <c r="M186" i="10"/>
  <c r="N186" i="10"/>
  <c r="N184" i="10" s="1"/>
  <c r="O188" i="10"/>
  <c r="P188" i="10"/>
  <c r="L189" i="10"/>
  <c r="O189" i="10" s="1"/>
  <c r="M189" i="10"/>
  <c r="P189" i="10" s="1"/>
  <c r="N189" i="10"/>
  <c r="N187" i="10" s="1"/>
  <c r="J190" i="10"/>
  <c r="L191" i="10"/>
  <c r="O191" i="10" s="1"/>
  <c r="P191" i="10"/>
  <c r="I193" i="10"/>
  <c r="J194" i="10"/>
  <c r="J197" i="10"/>
  <c r="N198" i="10"/>
  <c r="P198" i="10"/>
  <c r="L199" i="10"/>
  <c r="L200" i="10"/>
  <c r="L201" i="10"/>
  <c r="L202" i="10"/>
  <c r="I204" i="10"/>
  <c r="K204" i="10" s="1"/>
  <c r="K206" i="10"/>
  <c r="K207" i="10"/>
  <c r="J208" i="10"/>
  <c r="N209" i="10"/>
  <c r="P209" i="10"/>
  <c r="L210" i="10"/>
  <c r="L211" i="10"/>
  <c r="L212" i="10"/>
  <c r="I214" i="10"/>
  <c r="K214" i="10" s="1"/>
  <c r="I215" i="10"/>
  <c r="K215" i="10" s="1"/>
  <c r="J216" i="10"/>
  <c r="N217" i="10"/>
  <c r="P217" i="10"/>
  <c r="L218" i="10"/>
  <c r="L219" i="10"/>
  <c r="L220" i="10"/>
  <c r="I223" i="10"/>
  <c r="K223" i="10" s="1"/>
  <c r="I224" i="10"/>
  <c r="I216" i="10" s="1"/>
  <c r="K216" i="10" s="1"/>
  <c r="I225" i="10"/>
  <c r="N228" i="10"/>
  <c r="N229" i="10"/>
  <c r="N230" i="10"/>
  <c r="N231" i="10"/>
  <c r="J233" i="10"/>
  <c r="I235" i="10"/>
  <c r="J235" i="10"/>
  <c r="I236" i="10"/>
  <c r="J236" i="10"/>
  <c r="K236" i="10" s="1"/>
  <c r="J237" i="10"/>
  <c r="N238" i="10"/>
  <c r="P238" i="10"/>
  <c r="L239" i="10"/>
  <c r="L240" i="10"/>
  <c r="L241" i="10"/>
  <c r="L242" i="10"/>
  <c r="I244" i="10"/>
  <c r="K244" i="10" s="1"/>
  <c r="K246" i="10"/>
  <c r="K247" i="10"/>
  <c r="J248" i="10"/>
  <c r="N249" i="10"/>
  <c r="P249" i="10"/>
  <c r="L250" i="10"/>
  <c r="L251" i="10"/>
  <c r="L252" i="10"/>
  <c r="L253" i="10"/>
  <c r="I255" i="10"/>
  <c r="K257" i="10"/>
  <c r="K258" i="10"/>
  <c r="J260" i="10"/>
  <c r="L262" i="10"/>
  <c r="O262" i="10" s="1"/>
  <c r="M262" i="10"/>
  <c r="N262" i="10"/>
  <c r="P262" i="10"/>
  <c r="O265" i="10"/>
  <c r="P265" i="10"/>
  <c r="L266" i="10"/>
  <c r="L264" i="10" s="1"/>
  <c r="M266" i="10"/>
  <c r="M264" i="10" s="1"/>
  <c r="N266" i="10"/>
  <c r="N264" i="10" s="1"/>
  <c r="O268" i="10"/>
  <c r="P268" i="10"/>
  <c r="L269" i="10"/>
  <c r="L267" i="10" s="1"/>
  <c r="O267" i="10" s="1"/>
  <c r="M269" i="10"/>
  <c r="M267" i="10" s="1"/>
  <c r="P267" i="10" s="1"/>
  <c r="N269" i="10"/>
  <c r="N267" i="10" s="1"/>
  <c r="I271" i="10"/>
  <c r="K271" i="10" s="1"/>
  <c r="J276" i="10"/>
  <c r="L278" i="10"/>
  <c r="M278" i="10"/>
  <c r="N278" i="10"/>
  <c r="O278" i="10"/>
  <c r="P278" i="10"/>
  <c r="O281" i="10"/>
  <c r="P281" i="10"/>
  <c r="L282" i="10"/>
  <c r="L280" i="10" s="1"/>
  <c r="O280" i="10" s="1"/>
  <c r="M282" i="10"/>
  <c r="M280" i="10" s="1"/>
  <c r="P280" i="10" s="1"/>
  <c r="N282" i="10"/>
  <c r="N280" i="10" s="1"/>
  <c r="O284" i="10"/>
  <c r="P284" i="10"/>
  <c r="L285" i="10"/>
  <c r="M285" i="10"/>
  <c r="P285" i="10" s="1"/>
  <c r="N285" i="10"/>
  <c r="N283" i="10" s="1"/>
  <c r="I287" i="10"/>
  <c r="I288" i="10"/>
  <c r="I275" i="10" s="1"/>
  <c r="K275" i="10" s="1"/>
  <c r="I290" i="10"/>
  <c r="K290" i="10" s="1"/>
  <c r="I291" i="10"/>
  <c r="K291" i="10" s="1"/>
  <c r="I293" i="10"/>
  <c r="K293" i="10" s="1"/>
  <c r="I294" i="10"/>
  <c r="K294" i="10" s="1"/>
  <c r="J297" i="10"/>
  <c r="L299" i="10"/>
  <c r="O299" i="10" s="1"/>
  <c r="M299" i="10"/>
  <c r="N299" i="10"/>
  <c r="O302" i="10"/>
  <c r="P302" i="10"/>
  <c r="L303" i="10"/>
  <c r="M303" i="10"/>
  <c r="M301" i="10" s="1"/>
  <c r="P301" i="10" s="1"/>
  <c r="N303" i="10"/>
  <c r="N301" i="10" s="1"/>
  <c r="O305" i="10"/>
  <c r="P305" i="10"/>
  <c r="L306" i="10"/>
  <c r="O306" i="10" s="1"/>
  <c r="M306" i="10"/>
  <c r="M304" i="10" s="1"/>
  <c r="P304" i="10" s="1"/>
  <c r="N306" i="10"/>
  <c r="N304" i="10" s="1"/>
  <c r="I309" i="10"/>
  <c r="K309" i="10" s="1"/>
  <c r="I310" i="10"/>
  <c r="K310" i="10" s="1"/>
  <c r="I311" i="10"/>
  <c r="K311" i="10" s="1"/>
  <c r="I312" i="10"/>
  <c r="K312" i="10" s="1"/>
  <c r="J314" i="10"/>
  <c r="L316" i="10"/>
  <c r="M316" i="10"/>
  <c r="N316" i="10"/>
  <c r="O316" i="10"/>
  <c r="O319" i="10"/>
  <c r="P319" i="10"/>
  <c r="L320" i="10"/>
  <c r="L318" i="10" s="1"/>
  <c r="O318" i="10" s="1"/>
  <c r="M320" i="10"/>
  <c r="M318" i="10" s="1"/>
  <c r="P318" i="10" s="1"/>
  <c r="N320" i="10"/>
  <c r="N318" i="10" s="1"/>
  <c r="O322" i="10"/>
  <c r="P322" i="10"/>
  <c r="L323" i="10"/>
  <c r="L321" i="10" s="1"/>
  <c r="O321" i="10" s="1"/>
  <c r="M323" i="10"/>
  <c r="M321" i="10" s="1"/>
  <c r="P321" i="10" s="1"/>
  <c r="N323" i="10"/>
  <c r="N321" i="10" s="1"/>
  <c r="I325" i="10"/>
  <c r="I314" i="10" s="1"/>
  <c r="K314" i="10" s="1"/>
  <c r="I327" i="10"/>
  <c r="L329" i="10"/>
  <c r="M329" i="10"/>
  <c r="P329" i="10" s="1"/>
  <c r="N329" i="10"/>
  <c r="O332" i="10"/>
  <c r="P332" i="10"/>
  <c r="L333" i="10"/>
  <c r="M333" i="10"/>
  <c r="N333" i="10"/>
  <c r="O335" i="10"/>
  <c r="P335" i="10"/>
  <c r="L336" i="10"/>
  <c r="M336" i="10"/>
  <c r="P336" i="10" s="1"/>
  <c r="N336" i="10"/>
  <c r="N334" i="10" s="1"/>
  <c r="D337" i="10"/>
  <c r="I338" i="10"/>
  <c r="J338" i="10"/>
  <c r="I340" i="10"/>
  <c r="J340" i="10"/>
  <c r="J341" i="10"/>
  <c r="J342" i="10"/>
  <c r="J343" i="10"/>
  <c r="L346" i="10"/>
  <c r="M346" i="10"/>
  <c r="N346" i="10"/>
  <c r="O346" i="10"/>
  <c r="P346" i="10"/>
  <c r="O349" i="10"/>
  <c r="P349" i="10"/>
  <c r="L350" i="10"/>
  <c r="M350" i="10"/>
  <c r="N350" i="10"/>
  <c r="N348" i="10" s="1"/>
  <c r="O352" i="10"/>
  <c r="P352" i="10"/>
  <c r="L353" i="10"/>
  <c r="L351" i="10" s="1"/>
  <c r="M353" i="10"/>
  <c r="M351" i="10" s="1"/>
  <c r="N353" i="10"/>
  <c r="N351" i="10" s="1"/>
  <c r="I355" i="10"/>
  <c r="K355" i="10" s="1"/>
  <c r="J358" i="10"/>
  <c r="K358" i="10"/>
  <c r="I359" i="10"/>
  <c r="K359" i="10" s="1"/>
  <c r="J359" i="10"/>
  <c r="I360" i="10"/>
  <c r="K360" i="10" s="1"/>
  <c r="J360" i="10"/>
  <c r="J361" i="10"/>
  <c r="K361" i="10"/>
  <c r="I362" i="10"/>
  <c r="K362" i="10" s="1"/>
  <c r="J362" i="10"/>
  <c r="J355" i="10" s="1"/>
  <c r="J363" i="10"/>
  <c r="K363" i="10"/>
  <c r="I365" i="10"/>
  <c r="K365" i="10" s="1"/>
  <c r="J368" i="10"/>
  <c r="K368" i="10"/>
  <c r="I369" i="10"/>
  <c r="K369" i="10" s="1"/>
  <c r="J369" i="10"/>
  <c r="I370" i="10"/>
  <c r="K370" i="10" s="1"/>
  <c r="J370" i="10"/>
  <c r="J371" i="10"/>
  <c r="K371" i="10"/>
  <c r="I372" i="10"/>
  <c r="K372" i="10" s="1"/>
  <c r="J372" i="10"/>
  <c r="J365" i="10" s="1"/>
  <c r="J373" i="10"/>
  <c r="K373" i="10"/>
  <c r="I374" i="10"/>
  <c r="K374" i="10" s="1"/>
  <c r="J377" i="10"/>
  <c r="K377" i="10"/>
  <c r="I378" i="10"/>
  <c r="K378" i="10" s="1"/>
  <c r="J378" i="10"/>
  <c r="I379" i="10"/>
  <c r="K379" i="10" s="1"/>
  <c r="J379" i="10"/>
  <c r="J380" i="10"/>
  <c r="K380" i="10"/>
  <c r="I381" i="10"/>
  <c r="K381" i="10" s="1"/>
  <c r="J381" i="10"/>
  <c r="J374" i="10" s="1"/>
  <c r="J382" i="10"/>
  <c r="K382" i="10"/>
  <c r="I385" i="10"/>
  <c r="K385" i="10" s="1"/>
  <c r="J385" i="10"/>
  <c r="I388" i="10"/>
  <c r="K388" i="10" s="1"/>
  <c r="J388" i="10"/>
  <c r="L390" i="10"/>
  <c r="M390" i="10"/>
  <c r="N390" i="10"/>
  <c r="O390" i="10"/>
  <c r="P390" i="10"/>
  <c r="O393" i="10"/>
  <c r="P393" i="10"/>
  <c r="L394" i="10"/>
  <c r="O394" i="10" s="1"/>
  <c r="M394" i="10"/>
  <c r="N394" i="10"/>
  <c r="N392" i="10" s="1"/>
  <c r="O396" i="10"/>
  <c r="P396" i="10"/>
  <c r="L397" i="10"/>
  <c r="L395" i="10" s="1"/>
  <c r="O395" i="10" s="1"/>
  <c r="M397" i="10"/>
  <c r="M395" i="10" s="1"/>
  <c r="P395" i="10" s="1"/>
  <c r="N397" i="10"/>
  <c r="N395" i="10" s="1"/>
  <c r="K399" i="10"/>
  <c r="K400" i="10"/>
  <c r="I401" i="10"/>
  <c r="J401" i="10"/>
  <c r="K401" i="10"/>
  <c r="L403" i="10"/>
  <c r="M403" i="10"/>
  <c r="P403" i="10" s="1"/>
  <c r="N403" i="10"/>
  <c r="O406" i="10"/>
  <c r="P406" i="10"/>
  <c r="L407" i="10"/>
  <c r="L405" i="10" s="1"/>
  <c r="O405" i="10" s="1"/>
  <c r="M407" i="10"/>
  <c r="M405" i="10" s="1"/>
  <c r="P405" i="10" s="1"/>
  <c r="N407" i="10"/>
  <c r="N405" i="10" s="1"/>
  <c r="O409" i="10"/>
  <c r="P409" i="10"/>
  <c r="L410" i="10"/>
  <c r="L408" i="10" s="1"/>
  <c r="O408" i="10" s="1"/>
  <c r="M410" i="10"/>
  <c r="P410" i="10" s="1"/>
  <c r="N410" i="10"/>
  <c r="N408" i="10" s="1"/>
  <c r="K412" i="10"/>
  <c r="K413" i="10"/>
  <c r="L420" i="10"/>
  <c r="O420" i="10" s="1"/>
  <c r="M420" i="10"/>
  <c r="P420" i="10" s="1"/>
  <c r="N420" i="10"/>
  <c r="O423" i="10"/>
  <c r="P423" i="10"/>
  <c r="L424" i="10"/>
  <c r="L422" i="10" s="1"/>
  <c r="N424" i="10"/>
  <c r="M429" i="10"/>
  <c r="P429" i="10" s="1"/>
  <c r="N429" i="10"/>
  <c r="O430" i="10"/>
  <c r="P430" i="10"/>
  <c r="L431" i="10"/>
  <c r="L429" i="10" s="1"/>
  <c r="O429" i="10" s="1"/>
  <c r="P431" i="10"/>
  <c r="J434" i="10"/>
  <c r="J418" i="10" s="1"/>
  <c r="I435" i="10"/>
  <c r="I433" i="10" s="1"/>
  <c r="I417" i="10" s="1"/>
  <c r="I437" i="10"/>
  <c r="K437" i="10" s="1"/>
  <c r="I438" i="10"/>
  <c r="K438" i="10" s="1"/>
  <c r="I439" i="10"/>
  <c r="K439" i="10" s="1"/>
  <c r="I440" i="10"/>
  <c r="I441" i="10"/>
  <c r="K441" i="10" s="1"/>
  <c r="J442" i="10"/>
  <c r="J443" i="10"/>
  <c r="L445" i="10"/>
  <c r="M445" i="10"/>
  <c r="P445" i="10" s="1"/>
  <c r="N445" i="10"/>
  <c r="O445" i="10"/>
  <c r="O448" i="10"/>
  <c r="P448" i="10"/>
  <c r="L449" i="10"/>
  <c r="M449" i="10" s="1"/>
  <c r="M447" i="10" s="1"/>
  <c r="N449" i="10"/>
  <c r="N446" i="10" s="1"/>
  <c r="N444" i="10" s="1"/>
  <c r="M454" i="10"/>
  <c r="N454" i="10"/>
  <c r="P454" i="10"/>
  <c r="O455" i="10"/>
  <c r="P455" i="10"/>
  <c r="L456" i="10"/>
  <c r="L454" i="10" s="1"/>
  <c r="O454" i="10" s="1"/>
  <c r="P456" i="10"/>
  <c r="K458" i="10"/>
  <c r="I460" i="10"/>
  <c r="I462" i="10"/>
  <c r="I443" i="10" s="1"/>
  <c r="K443" i="10" s="1"/>
  <c r="I463" i="10"/>
  <c r="I464" i="10"/>
  <c r="I465" i="10"/>
  <c r="K465" i="10" s="1"/>
  <c r="J465" i="10"/>
  <c r="I466" i="10"/>
  <c r="K466" i="10" s="1"/>
  <c r="J466" i="10"/>
  <c r="L468" i="10"/>
  <c r="O468" i="10" s="1"/>
  <c r="M468" i="10"/>
  <c r="N468" i="10"/>
  <c r="M469" i="10"/>
  <c r="P469" i="10" s="1"/>
  <c r="N469" i="10"/>
  <c r="M470" i="10"/>
  <c r="P470" i="10"/>
  <c r="O471" i="10"/>
  <c r="P471" i="10"/>
  <c r="L472" i="10"/>
  <c r="O472" i="10" s="1"/>
  <c r="N472" i="10"/>
  <c r="N470" i="10" s="1"/>
  <c r="P472" i="10"/>
  <c r="M477" i="10"/>
  <c r="P477" i="10" s="1"/>
  <c r="N477" i="10"/>
  <c r="O478" i="10"/>
  <c r="P478" i="10"/>
  <c r="L479" i="10"/>
  <c r="L477" i="10" s="1"/>
  <c r="O477" i="10" s="1"/>
  <c r="P479" i="10"/>
  <c r="I483" i="10"/>
  <c r="K483" i="10" s="1"/>
  <c r="I485" i="10"/>
  <c r="K485" i="10" s="1"/>
  <c r="I487" i="10"/>
  <c r="K487" i="10" s="1"/>
  <c r="I489" i="10"/>
  <c r="K489" i="10" s="1"/>
  <c r="I492" i="10"/>
  <c r="K492" i="10" s="1"/>
  <c r="I495" i="10"/>
  <c r="K495" i="10" s="1"/>
  <c r="I498" i="10"/>
  <c r="K498" i="10" s="1"/>
  <c r="J500" i="10"/>
  <c r="K500" i="10"/>
  <c r="K501" i="10"/>
  <c r="L503" i="10"/>
  <c r="O503" i="10" s="1"/>
  <c r="M503" i="10"/>
  <c r="N503" i="10"/>
  <c r="L504" i="10"/>
  <c r="M504" i="10"/>
  <c r="P504" i="10" s="1"/>
  <c r="O504" i="10"/>
  <c r="L505" i="10"/>
  <c r="O505" i="10" s="1"/>
  <c r="M505" i="10"/>
  <c r="P505" i="10" s="1"/>
  <c r="N505" i="10"/>
  <c r="O506" i="10"/>
  <c r="P506" i="10"/>
  <c r="N507" i="10"/>
  <c r="N504" i="10" s="1"/>
  <c r="O507" i="10"/>
  <c r="P507" i="10"/>
  <c r="L512" i="10"/>
  <c r="O512" i="10" s="1"/>
  <c r="M512" i="10"/>
  <c r="N512" i="10"/>
  <c r="P512" i="10"/>
  <c r="O513" i="10"/>
  <c r="P513" i="10"/>
  <c r="O514" i="10"/>
  <c r="P514" i="10"/>
  <c r="K516" i="10"/>
  <c r="J517" i="10"/>
  <c r="J501" i="10" s="1"/>
  <c r="K517" i="10"/>
  <c r="L524" i="10"/>
  <c r="M524" i="10"/>
  <c r="N524" i="10"/>
  <c r="O524" i="10"/>
  <c r="M525" i="10"/>
  <c r="P525" i="10"/>
  <c r="M526" i="10"/>
  <c r="P526" i="10"/>
  <c r="O527" i="10"/>
  <c r="P527" i="10"/>
  <c r="L528" i="10"/>
  <c r="O528" i="10" s="1"/>
  <c r="N528" i="10"/>
  <c r="N525" i="10" s="1"/>
  <c r="N523" i="10" s="1"/>
  <c r="P528" i="10"/>
  <c r="M533" i="10"/>
  <c r="P533" i="10" s="1"/>
  <c r="N533" i="10"/>
  <c r="O534" i="10"/>
  <c r="P534" i="10"/>
  <c r="L535" i="10"/>
  <c r="O535" i="10" s="1"/>
  <c r="P535" i="10"/>
  <c r="I537" i="10"/>
  <c r="I522" i="10" s="1"/>
  <c r="K522" i="10" s="1"/>
  <c r="I538" i="10"/>
  <c r="K538" i="10" s="1"/>
  <c r="I539" i="10"/>
  <c r="K539" i="10" s="1"/>
  <c r="I540" i="10"/>
  <c r="K540" i="10" s="1"/>
  <c r="I541" i="10"/>
  <c r="K541" i="10" s="1"/>
  <c r="I542" i="10"/>
  <c r="K542" i="10" s="1"/>
  <c r="L545" i="10"/>
  <c r="O548" i="10"/>
  <c r="P548" i="10"/>
  <c r="L549" i="10"/>
  <c r="L547" i="10" s="1"/>
  <c r="N549" i="10"/>
  <c r="N546" i="10" s="1"/>
  <c r="M555" i="10"/>
  <c r="M545" i="10" s="1"/>
  <c r="P545" i="10" s="1"/>
  <c r="N555" i="10"/>
  <c r="N545" i="10" s="1"/>
  <c r="N544" i="10" s="1"/>
  <c r="O556" i="10"/>
  <c r="P556" i="10"/>
  <c r="L557" i="10"/>
  <c r="L555" i="10" s="1"/>
  <c r="O555" i="10" s="1"/>
  <c r="P557" i="10"/>
  <c r="I560" i="10"/>
  <c r="K560" i="10" s="1"/>
  <c r="J560" i="10"/>
  <c r="I561" i="10"/>
  <c r="K561" i="10" s="1"/>
  <c r="J561" i="10"/>
  <c r="I568" i="10"/>
  <c r="K568" i="10" s="1"/>
  <c r="J568" i="10"/>
  <c r="I569" i="10"/>
  <c r="K569" i="10" s="1"/>
  <c r="J569" i="10"/>
  <c r="I576" i="10"/>
  <c r="I559" i="10" s="1"/>
  <c r="I577" i="10"/>
  <c r="K577" i="10" s="1"/>
  <c r="J582" i="10"/>
  <c r="J576" i="10" s="1"/>
  <c r="J559" i="10" s="1"/>
  <c r="J543" i="10" s="1"/>
  <c r="J583" i="10"/>
  <c r="J577" i="10" s="1"/>
  <c r="I593" i="10"/>
  <c r="I592" i="10" s="1"/>
  <c r="I594" i="10"/>
  <c r="J595" i="10"/>
  <c r="J596" i="10"/>
  <c r="J603" i="10"/>
  <c r="J604" i="10"/>
  <c r="J611" i="10"/>
  <c r="K611" i="10"/>
  <c r="J612" i="10"/>
  <c r="K612" i="10"/>
  <c r="J613" i="10"/>
  <c r="K613" i="10"/>
  <c r="I620" i="10"/>
  <c r="K620" i="10" s="1"/>
  <c r="J620" i="10"/>
  <c r="I621" i="10"/>
  <c r="K621" i="10" s="1"/>
  <c r="J621" i="10"/>
  <c r="M629" i="10"/>
  <c r="P629" i="10" s="1"/>
  <c r="L630" i="10"/>
  <c r="O630" i="10" s="1"/>
  <c r="M630" i="10"/>
  <c r="P630" i="10" s="1"/>
  <c r="N630" i="10"/>
  <c r="N629" i="10" s="1"/>
  <c r="M631" i="10"/>
  <c r="P631" i="10" s="1"/>
  <c r="N631" i="10"/>
  <c r="M632" i="10"/>
  <c r="P632" i="10"/>
  <c r="O633" i="10"/>
  <c r="P633" i="10"/>
  <c r="L634" i="10"/>
  <c r="O634" i="10" s="1"/>
  <c r="N634" i="10"/>
  <c r="N632" i="10" s="1"/>
  <c r="P634" i="10"/>
  <c r="M639" i="10"/>
  <c r="N639" i="10"/>
  <c r="P639" i="10"/>
  <c r="O640" i="10"/>
  <c r="P640" i="10"/>
  <c r="L641" i="10"/>
  <c r="O641" i="10" s="1"/>
  <c r="P641" i="10"/>
  <c r="I643" i="10"/>
  <c r="K643" i="10" s="1"/>
  <c r="I644" i="10"/>
  <c r="K644" i="10" s="1"/>
  <c r="J645" i="10"/>
  <c r="K645" i="10"/>
  <c r="J646" i="10"/>
  <c r="K646" i="10"/>
  <c r="I647" i="10"/>
  <c r="K647" i="10" s="1"/>
  <c r="J647" i="10"/>
  <c r="J648" i="10"/>
  <c r="K648" i="10"/>
  <c r="I649" i="10"/>
  <c r="K649" i="10" s="1"/>
  <c r="J649" i="10"/>
  <c r="J650" i="10"/>
  <c r="K650" i="10"/>
  <c r="I651" i="10"/>
  <c r="I628" i="10" s="1"/>
  <c r="K628" i="10" s="1"/>
  <c r="J651" i="10"/>
  <c r="J628" i="10" s="1"/>
  <c r="J652" i="10"/>
  <c r="K652" i="10"/>
  <c r="L656" i="10"/>
  <c r="O656" i="10" s="1"/>
  <c r="M656" i="10"/>
  <c r="N656" i="10"/>
  <c r="P656" i="10"/>
  <c r="M657" i="10"/>
  <c r="M655" i="10" s="1"/>
  <c r="P655" i="10" s="1"/>
  <c r="M658" i="10"/>
  <c r="P658" i="10" s="1"/>
  <c r="O659" i="10"/>
  <c r="P659" i="10"/>
  <c r="L660" i="10"/>
  <c r="L658" i="10" s="1"/>
  <c r="O658" i="10" s="1"/>
  <c r="N660" i="10"/>
  <c r="N658" i="10" s="1"/>
  <c r="P660" i="10"/>
  <c r="L665" i="10"/>
  <c r="M665" i="10"/>
  <c r="P665" i="10" s="1"/>
  <c r="N665" i="10"/>
  <c r="O665" i="10"/>
  <c r="O666" i="10"/>
  <c r="P666" i="10"/>
  <c r="O667" i="10"/>
  <c r="P667" i="10"/>
  <c r="I669" i="10"/>
  <c r="K669" i="10" s="1"/>
  <c r="I670" i="10"/>
  <c r="K670" i="10" s="1"/>
  <c r="I671" i="10"/>
  <c r="K671" i="10" s="1"/>
  <c r="J675" i="10"/>
  <c r="J669" i="10" s="1"/>
  <c r="J654" i="10" s="1"/>
  <c r="I678" i="10"/>
  <c r="K678" i="10" s="1"/>
  <c r="J678" i="10"/>
  <c r="J679" i="10"/>
  <c r="L686" i="10"/>
  <c r="M686" i="10"/>
  <c r="P686" i="10" s="1"/>
  <c r="N686" i="10"/>
  <c r="O686" i="10"/>
  <c r="L690" i="10"/>
  <c r="L687" i="10" s="1"/>
  <c r="N690" i="10"/>
  <c r="N688" i="10" s="1"/>
  <c r="L695" i="10"/>
  <c r="O695" i="10" s="1"/>
  <c r="M695" i="10"/>
  <c r="P695" i="10" s="1"/>
  <c r="N695" i="10"/>
  <c r="O696" i="10"/>
  <c r="P696" i="10"/>
  <c r="O697" i="10"/>
  <c r="P697" i="10"/>
  <c r="I699" i="10"/>
  <c r="K699" i="10" s="1"/>
  <c r="J699" i="10"/>
  <c r="I700" i="10"/>
  <c r="K700" i="10" s="1"/>
  <c r="J700" i="10"/>
  <c r="I701" i="10"/>
  <c r="J701" i="10"/>
  <c r="I704" i="10"/>
  <c r="I707" i="10"/>
  <c r="I708" i="10"/>
  <c r="J708" i="10"/>
  <c r="J718" i="10"/>
  <c r="J719" i="10"/>
  <c r="I720" i="10"/>
  <c r="J720" i="10"/>
  <c r="I721" i="10"/>
  <c r="I722" i="10"/>
  <c r="I723" i="10"/>
  <c r="J723" i="10"/>
  <c r="J724" i="10"/>
  <c r="I725" i="10"/>
  <c r="J725" i="10"/>
  <c r="I726" i="10"/>
  <c r="J726" i="10"/>
  <c r="J727" i="10"/>
  <c r="I728" i="10"/>
  <c r="J728" i="10"/>
  <c r="I729" i="10"/>
  <c r="J729" i="10"/>
  <c r="J736" i="10"/>
  <c r="K736" i="10"/>
  <c r="N737" i="10"/>
  <c r="L738" i="10"/>
  <c r="L737" i="10" s="1"/>
  <c r="O737" i="10" s="1"/>
  <c r="M738" i="10"/>
  <c r="P738" i="10" s="1"/>
  <c r="N738" i="10"/>
  <c r="L739" i="10"/>
  <c r="M739" i="10"/>
  <c r="P739" i="10" s="1"/>
  <c r="N739" i="10"/>
  <c r="O739" i="10"/>
  <c r="L740" i="10"/>
  <c r="M740" i="10"/>
  <c r="O740" i="10"/>
  <c r="P740" i="10"/>
  <c r="O741" i="10"/>
  <c r="P741" i="10"/>
  <c r="N742" i="10"/>
  <c r="N740" i="10" s="1"/>
  <c r="O742" i="10"/>
  <c r="P742" i="10"/>
  <c r="L747" i="10"/>
  <c r="O747" i="10" s="1"/>
  <c r="M747" i="10"/>
  <c r="P747" i="10" s="1"/>
  <c r="N747" i="10"/>
  <c r="O748" i="10"/>
  <c r="P748" i="10"/>
  <c r="O749" i="10"/>
  <c r="P749" i="10"/>
  <c r="J753" i="10"/>
  <c r="K753" i="10"/>
  <c r="N754" i="10"/>
  <c r="L755" i="10"/>
  <c r="L754" i="10" s="1"/>
  <c r="O754" i="10" s="1"/>
  <c r="M755" i="10"/>
  <c r="P755" i="10" s="1"/>
  <c r="N755" i="10"/>
  <c r="L756" i="10"/>
  <c r="M756" i="10"/>
  <c r="P756" i="10" s="1"/>
  <c r="N756" i="10"/>
  <c r="O756" i="10"/>
  <c r="L757" i="10"/>
  <c r="M757" i="10"/>
  <c r="O757" i="10"/>
  <c r="P757" i="10"/>
  <c r="O758" i="10"/>
  <c r="P758" i="10"/>
  <c r="N759" i="10"/>
  <c r="N757" i="10" s="1"/>
  <c r="O759" i="10"/>
  <c r="P759" i="10"/>
  <c r="L764" i="10"/>
  <c r="O764" i="10" s="1"/>
  <c r="M764" i="10"/>
  <c r="P764" i="10" s="1"/>
  <c r="N764" i="10"/>
  <c r="O765" i="10"/>
  <c r="P765" i="10"/>
  <c r="O766" i="10"/>
  <c r="P766" i="10"/>
  <c r="J769" i="10"/>
  <c r="K769" i="10"/>
  <c r="N770" i="10"/>
  <c r="L771" i="10"/>
  <c r="L770" i="10" s="1"/>
  <c r="O770" i="10" s="1"/>
  <c r="M771" i="10"/>
  <c r="P771" i="10" s="1"/>
  <c r="N771" i="10"/>
  <c r="L772" i="10"/>
  <c r="M772" i="10"/>
  <c r="P772" i="10" s="1"/>
  <c r="N772" i="10"/>
  <c r="O772" i="10"/>
  <c r="L773" i="10"/>
  <c r="M773" i="10"/>
  <c r="O773" i="10"/>
  <c r="P773" i="10"/>
  <c r="O774" i="10"/>
  <c r="P774" i="10"/>
  <c r="N775" i="10"/>
  <c r="N773" i="10" s="1"/>
  <c r="O775" i="10"/>
  <c r="P775" i="10"/>
  <c r="L780" i="10"/>
  <c r="O780" i="10" s="1"/>
  <c r="M780" i="10"/>
  <c r="P780" i="10" s="1"/>
  <c r="N780" i="10"/>
  <c r="O781" i="10"/>
  <c r="P781" i="10"/>
  <c r="O782" i="10"/>
  <c r="P782" i="10"/>
  <c r="L787" i="10"/>
  <c r="O787" i="10" s="1"/>
  <c r="M787" i="10"/>
  <c r="P787" i="10" s="1"/>
  <c r="N787" i="10"/>
  <c r="M788" i="10"/>
  <c r="P788" i="10" s="1"/>
  <c r="M789" i="10"/>
  <c r="P789" i="10" s="1"/>
  <c r="O790" i="10"/>
  <c r="P790" i="10"/>
  <c r="L791" i="10"/>
  <c r="L788" i="10" s="1"/>
  <c r="N791" i="10"/>
  <c r="N789" i="10" s="1"/>
  <c r="P791" i="10"/>
  <c r="L796" i="10"/>
  <c r="O796" i="10" s="1"/>
  <c r="M796" i="10"/>
  <c r="P796" i="10" s="1"/>
  <c r="N796" i="10"/>
  <c r="O797" i="10"/>
  <c r="P797" i="10"/>
  <c r="O798" i="10"/>
  <c r="P798" i="10"/>
  <c r="I800" i="10"/>
  <c r="I785" i="10" s="1"/>
  <c r="K785" i="10" s="1"/>
  <c r="J800" i="10"/>
  <c r="J785" i="10" s="1"/>
  <c r="J801" i="10"/>
  <c r="K802" i="10"/>
  <c r="J804" i="10"/>
  <c r="K804" i="10"/>
  <c r="L806" i="10"/>
  <c r="O806" i="10" s="1"/>
  <c r="M806" i="10"/>
  <c r="P806" i="10" s="1"/>
  <c r="N806" i="10"/>
  <c r="L807" i="10"/>
  <c r="M807" i="10"/>
  <c r="P807" i="10" s="1"/>
  <c r="O807" i="10"/>
  <c r="L808" i="10"/>
  <c r="O808" i="10" s="1"/>
  <c r="M808" i="10"/>
  <c r="P808" i="10" s="1"/>
  <c r="O809" i="10"/>
  <c r="P809" i="10"/>
  <c r="N810" i="10"/>
  <c r="N808" i="10" s="1"/>
  <c r="O810" i="10"/>
  <c r="P810" i="10"/>
  <c r="L815" i="10"/>
  <c r="O815" i="10" s="1"/>
  <c r="M815" i="10"/>
  <c r="P815" i="10" s="1"/>
  <c r="N815" i="10"/>
  <c r="O816" i="10"/>
  <c r="P816" i="10"/>
  <c r="O817" i="10"/>
  <c r="P817" i="10"/>
  <c r="H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L22" i="9"/>
  <c r="M22" i="9"/>
  <c r="P22" i="9" s="1"/>
  <c r="N22" i="9"/>
  <c r="L25" i="9"/>
  <c r="L15" i="9" s="1"/>
  <c r="M25" i="9"/>
  <c r="M15" i="9" s="1"/>
  <c r="N25" i="9"/>
  <c r="L32" i="9"/>
  <c r="M32" i="9"/>
  <c r="M29" i="9" s="1"/>
  <c r="N32" i="9"/>
  <c r="O32" i="9"/>
  <c r="L35" i="9"/>
  <c r="L29" i="9" s="1"/>
  <c r="M35" i="9"/>
  <c r="N35" i="9"/>
  <c r="N15" i="9" s="1"/>
  <c r="P35" i="9"/>
  <c r="M36" i="9"/>
  <c r="N36" i="9"/>
  <c r="L42" i="9"/>
  <c r="O42" i="9" s="1"/>
  <c r="M42" i="9"/>
  <c r="N42" i="9"/>
  <c r="P42" i="9"/>
  <c r="O45" i="9"/>
  <c r="P45" i="9"/>
  <c r="L46" i="9"/>
  <c r="L44" i="9" s="1"/>
  <c r="M46" i="9"/>
  <c r="M44" i="9" s="1"/>
  <c r="N46" i="9"/>
  <c r="O48" i="9"/>
  <c r="P48" i="9"/>
  <c r="L49" i="9"/>
  <c r="L47" i="9" s="1"/>
  <c r="O47" i="9" s="1"/>
  <c r="M49" i="9"/>
  <c r="M47" i="9" s="1"/>
  <c r="P47" i="9" s="1"/>
  <c r="N49" i="9"/>
  <c r="N47" i="9" s="1"/>
  <c r="L54" i="9"/>
  <c r="M54" i="9"/>
  <c r="N54" i="9"/>
  <c r="O54" i="9"/>
  <c r="O57" i="9"/>
  <c r="P57" i="9"/>
  <c r="L58" i="9"/>
  <c r="M58" i="9"/>
  <c r="M56" i="9" s="1"/>
  <c r="N58" i="9"/>
  <c r="O60" i="9"/>
  <c r="P60" i="9"/>
  <c r="L61" i="9"/>
  <c r="O61" i="9" s="1"/>
  <c r="M61" i="9"/>
  <c r="M59" i="9" s="1"/>
  <c r="P59" i="9" s="1"/>
  <c r="N61" i="9"/>
  <c r="N59" i="9" s="1"/>
  <c r="J64" i="9"/>
  <c r="L67" i="9"/>
  <c r="O67" i="9" s="1"/>
  <c r="M67" i="9"/>
  <c r="N67" i="9"/>
  <c r="P67" i="9"/>
  <c r="O70" i="9"/>
  <c r="P70" i="9"/>
  <c r="L71" i="9"/>
  <c r="M71" i="9"/>
  <c r="M69" i="9" s="1"/>
  <c r="P69" i="9" s="1"/>
  <c r="N71" i="9"/>
  <c r="N69" i="9" s="1"/>
  <c r="O73" i="9"/>
  <c r="P73" i="9"/>
  <c r="L74" i="9"/>
  <c r="L72" i="9" s="1"/>
  <c r="O72" i="9" s="1"/>
  <c r="M74" i="9"/>
  <c r="M72" i="9" s="1"/>
  <c r="P72" i="9" s="1"/>
  <c r="N74" i="9"/>
  <c r="N72" i="9" s="1"/>
  <c r="J76" i="9"/>
  <c r="J77" i="9"/>
  <c r="J65" i="9" s="1"/>
  <c r="I78" i="9"/>
  <c r="I79" i="9"/>
  <c r="K79" i="9" s="1"/>
  <c r="I80" i="9"/>
  <c r="K80" i="9" s="1"/>
  <c r="I81" i="9"/>
  <c r="I82" i="9"/>
  <c r="K82" i="9" s="1"/>
  <c r="I83" i="9"/>
  <c r="K83" i="9" s="1"/>
  <c r="I84" i="9"/>
  <c r="K84" i="9" s="1"/>
  <c r="J87" i="9"/>
  <c r="L89" i="9"/>
  <c r="O89" i="9" s="1"/>
  <c r="M89" i="9"/>
  <c r="P89" i="9" s="1"/>
  <c r="N89" i="9"/>
  <c r="O92" i="9"/>
  <c r="P92" i="9"/>
  <c r="L93" i="9"/>
  <c r="M93" i="9"/>
  <c r="N93" i="9"/>
  <c r="N91" i="9" s="1"/>
  <c r="O95" i="9"/>
  <c r="P95" i="9"/>
  <c r="L96" i="9"/>
  <c r="M96" i="9"/>
  <c r="M94" i="9" s="1"/>
  <c r="P94" i="9" s="1"/>
  <c r="N96" i="9"/>
  <c r="N94" i="9" s="1"/>
  <c r="I98" i="9"/>
  <c r="I86" i="9" s="1"/>
  <c r="J98" i="9"/>
  <c r="I99" i="9"/>
  <c r="I87" i="9" s="1"/>
  <c r="K87" i="9" s="1"/>
  <c r="J99" i="9"/>
  <c r="I100" i="9"/>
  <c r="J100" i="9"/>
  <c r="I102" i="9"/>
  <c r="K102" i="9" s="1"/>
  <c r="I103" i="9"/>
  <c r="K103" i="9" s="1"/>
  <c r="I104" i="9"/>
  <c r="K104" i="9" s="1"/>
  <c r="I106" i="9"/>
  <c r="K106" i="9" s="1"/>
  <c r="I107" i="9"/>
  <c r="K107" i="9" s="1"/>
  <c r="I109" i="9"/>
  <c r="K109" i="9" s="1"/>
  <c r="I110" i="9"/>
  <c r="K110" i="9" s="1"/>
  <c r="I111" i="9"/>
  <c r="K111" i="9" s="1"/>
  <c r="J111" i="9"/>
  <c r="J112" i="9"/>
  <c r="I113" i="9"/>
  <c r="K113" i="9" s="1"/>
  <c r="I114" i="9"/>
  <c r="K114" i="9" s="1"/>
  <c r="I115" i="9"/>
  <c r="I116" i="9"/>
  <c r="K116" i="9" s="1"/>
  <c r="L120" i="9"/>
  <c r="O120" i="9" s="1"/>
  <c r="M120" i="9"/>
  <c r="N120" i="9"/>
  <c r="O123" i="9"/>
  <c r="P123" i="9"/>
  <c r="L124" i="9"/>
  <c r="O124" i="9" s="1"/>
  <c r="M124" i="9"/>
  <c r="N124" i="9"/>
  <c r="N122" i="9" s="1"/>
  <c r="O126" i="9"/>
  <c r="P126" i="9"/>
  <c r="L127" i="9"/>
  <c r="O127" i="9" s="1"/>
  <c r="M127" i="9"/>
  <c r="M125" i="9" s="1"/>
  <c r="P125" i="9" s="1"/>
  <c r="N127" i="9"/>
  <c r="N125" i="9" s="1"/>
  <c r="J130" i="9"/>
  <c r="L133" i="9"/>
  <c r="O133" i="9" s="1"/>
  <c r="M133" i="9"/>
  <c r="P133" i="9" s="1"/>
  <c r="N133" i="9"/>
  <c r="O136" i="9"/>
  <c r="P136" i="9"/>
  <c r="L137" i="9"/>
  <c r="L135" i="9" s="1"/>
  <c r="O135" i="9" s="1"/>
  <c r="M137" i="9"/>
  <c r="M135" i="9" s="1"/>
  <c r="P135" i="9" s="1"/>
  <c r="N137" i="9"/>
  <c r="N135" i="9" s="1"/>
  <c r="O139" i="9"/>
  <c r="P139" i="9"/>
  <c r="L140" i="9"/>
  <c r="L138" i="9" s="1"/>
  <c r="O138" i="9" s="1"/>
  <c r="M140" i="9"/>
  <c r="M138" i="9" s="1"/>
  <c r="P138" i="9" s="1"/>
  <c r="N140" i="9"/>
  <c r="N138" i="9" s="1"/>
  <c r="I144" i="9"/>
  <c r="K144" i="9" s="1"/>
  <c r="I145" i="9"/>
  <c r="I143" i="9" s="1"/>
  <c r="I146" i="9"/>
  <c r="I130" i="9" s="1"/>
  <c r="K130" i="9" s="1"/>
  <c r="J148" i="9"/>
  <c r="L150" i="9"/>
  <c r="O150" i="9" s="1"/>
  <c r="M150" i="9"/>
  <c r="N150" i="9"/>
  <c r="O153" i="9"/>
  <c r="P153" i="9"/>
  <c r="L154" i="9"/>
  <c r="M154" i="9"/>
  <c r="M152" i="9" s="1"/>
  <c r="P152" i="9" s="1"/>
  <c r="N154" i="9"/>
  <c r="N152" i="9" s="1"/>
  <c r="O156" i="9"/>
  <c r="P156" i="9"/>
  <c r="L157" i="9"/>
  <c r="M157" i="9"/>
  <c r="M155" i="9" s="1"/>
  <c r="P155" i="9" s="1"/>
  <c r="N157" i="9"/>
  <c r="N155" i="9" s="1"/>
  <c r="I159" i="9"/>
  <c r="L166" i="9"/>
  <c r="M166" i="9"/>
  <c r="P166" i="9" s="1"/>
  <c r="N166" i="9"/>
  <c r="O166" i="9"/>
  <c r="O169" i="9"/>
  <c r="P169" i="9"/>
  <c r="L170" i="9"/>
  <c r="M170" i="9"/>
  <c r="M168" i="9" s="1"/>
  <c r="N170" i="9"/>
  <c r="N168" i="9" s="1"/>
  <c r="O172" i="9"/>
  <c r="P172" i="9"/>
  <c r="L173" i="9"/>
  <c r="L171" i="9" s="1"/>
  <c r="O171" i="9" s="1"/>
  <c r="M173" i="9"/>
  <c r="P173" i="9" s="1"/>
  <c r="N173" i="9"/>
  <c r="N171" i="9" s="1"/>
  <c r="J174" i="9"/>
  <c r="I176" i="9"/>
  <c r="I174" i="9" s="1"/>
  <c r="J177" i="9"/>
  <c r="L182" i="9"/>
  <c r="M182" i="9"/>
  <c r="N182" i="9"/>
  <c r="O182" i="9"/>
  <c r="O185" i="9"/>
  <c r="P185" i="9"/>
  <c r="L186" i="9"/>
  <c r="M186" i="9"/>
  <c r="N186" i="9"/>
  <c r="N184" i="9" s="1"/>
  <c r="O188" i="9"/>
  <c r="P188" i="9"/>
  <c r="L189" i="9"/>
  <c r="L187" i="9" s="1"/>
  <c r="O187" i="9" s="1"/>
  <c r="M189" i="9"/>
  <c r="P189" i="9" s="1"/>
  <c r="N189" i="9"/>
  <c r="N187" i="9" s="1"/>
  <c r="J190" i="9"/>
  <c r="L191" i="9"/>
  <c r="O191" i="9" s="1"/>
  <c r="P191" i="9"/>
  <c r="I193" i="9"/>
  <c r="I190" i="9" s="1"/>
  <c r="K190" i="9" s="1"/>
  <c r="J194" i="9"/>
  <c r="J197" i="9"/>
  <c r="N198" i="9"/>
  <c r="P198" i="9"/>
  <c r="L199" i="9"/>
  <c r="L200" i="9"/>
  <c r="L201" i="9"/>
  <c r="L202" i="9"/>
  <c r="I204" i="9"/>
  <c r="K204" i="9" s="1"/>
  <c r="J208" i="9"/>
  <c r="N209" i="9"/>
  <c r="P209" i="9"/>
  <c r="L210" i="9"/>
  <c r="L211" i="9"/>
  <c r="L212" i="9"/>
  <c r="I214" i="9"/>
  <c r="K214" i="9" s="1"/>
  <c r="I215" i="9"/>
  <c r="I208" i="9" s="1"/>
  <c r="K208" i="9" s="1"/>
  <c r="J216" i="9"/>
  <c r="N217" i="9"/>
  <c r="P217" i="9"/>
  <c r="L218" i="9"/>
  <c r="L219" i="9"/>
  <c r="L220" i="9"/>
  <c r="I223" i="9"/>
  <c r="K223" i="9" s="1"/>
  <c r="I224" i="9"/>
  <c r="I216" i="9" s="1"/>
  <c r="K216" i="9" s="1"/>
  <c r="I225" i="9"/>
  <c r="K225" i="9" s="1"/>
  <c r="N228" i="9"/>
  <c r="N229" i="9"/>
  <c r="N230" i="9"/>
  <c r="N231" i="9"/>
  <c r="J233" i="9"/>
  <c r="I235" i="9"/>
  <c r="J235" i="9"/>
  <c r="I236" i="9"/>
  <c r="K236" i="9" s="1"/>
  <c r="J236" i="9"/>
  <c r="J237" i="9"/>
  <c r="N238" i="9"/>
  <c r="P238" i="9"/>
  <c r="L239" i="9"/>
  <c r="L240" i="9"/>
  <c r="L241" i="9"/>
  <c r="L242" i="9"/>
  <c r="I244" i="9"/>
  <c r="I237" i="9" s="1"/>
  <c r="K237" i="9" s="1"/>
  <c r="K246" i="9"/>
  <c r="K247" i="9"/>
  <c r="J248" i="9"/>
  <c r="N249" i="9"/>
  <c r="P249" i="9"/>
  <c r="L250" i="9"/>
  <c r="L251" i="9"/>
  <c r="L252" i="9"/>
  <c r="L253" i="9"/>
  <c r="I255" i="9"/>
  <c r="K257" i="9"/>
  <c r="K258" i="9"/>
  <c r="J260" i="9"/>
  <c r="L262" i="9"/>
  <c r="M262" i="9"/>
  <c r="N262" i="9"/>
  <c r="O265" i="9"/>
  <c r="P265" i="9"/>
  <c r="L266" i="9"/>
  <c r="M266" i="9"/>
  <c r="M264" i="9" s="1"/>
  <c r="N266" i="9"/>
  <c r="N264" i="9" s="1"/>
  <c r="O268" i="9"/>
  <c r="P268" i="9"/>
  <c r="L269" i="9"/>
  <c r="O269" i="9" s="1"/>
  <c r="M269" i="9"/>
  <c r="P269" i="9" s="1"/>
  <c r="N269" i="9"/>
  <c r="N267" i="9" s="1"/>
  <c r="I271" i="9"/>
  <c r="I260" i="9" s="1"/>
  <c r="K260" i="9" s="1"/>
  <c r="J276" i="9"/>
  <c r="L278" i="9"/>
  <c r="O278" i="9" s="1"/>
  <c r="M278" i="9"/>
  <c r="P278" i="9" s="1"/>
  <c r="N278" i="9"/>
  <c r="O281" i="9"/>
  <c r="P281" i="9"/>
  <c r="L282" i="9"/>
  <c r="O282" i="9" s="1"/>
  <c r="M282" i="9"/>
  <c r="N282" i="9"/>
  <c r="N280" i="9" s="1"/>
  <c r="O284" i="9"/>
  <c r="P284" i="9"/>
  <c r="L285" i="9"/>
  <c r="O285" i="9" s="1"/>
  <c r="M285" i="9"/>
  <c r="M283" i="9" s="1"/>
  <c r="P283" i="9" s="1"/>
  <c r="N285" i="9"/>
  <c r="N283" i="9" s="1"/>
  <c r="I287" i="9"/>
  <c r="I288" i="9"/>
  <c r="K288" i="9" s="1"/>
  <c r="I290" i="9"/>
  <c r="K290" i="9" s="1"/>
  <c r="I291" i="9"/>
  <c r="K291" i="9" s="1"/>
  <c r="I293" i="9"/>
  <c r="K293" i="9" s="1"/>
  <c r="I294" i="9"/>
  <c r="K294" i="9" s="1"/>
  <c r="J297" i="9"/>
  <c r="L299" i="9"/>
  <c r="O299" i="9" s="1"/>
  <c r="M299" i="9"/>
  <c r="N299" i="9"/>
  <c r="P299" i="9"/>
  <c r="O302" i="9"/>
  <c r="P302" i="9"/>
  <c r="L303" i="9"/>
  <c r="L301" i="9" s="1"/>
  <c r="O301" i="9" s="1"/>
  <c r="M303" i="9"/>
  <c r="M301" i="9" s="1"/>
  <c r="P301" i="9" s="1"/>
  <c r="N303" i="9"/>
  <c r="N301" i="9" s="1"/>
  <c r="O305" i="9"/>
  <c r="P305" i="9"/>
  <c r="L306" i="9"/>
  <c r="L304" i="9" s="1"/>
  <c r="O304" i="9" s="1"/>
  <c r="M306" i="9"/>
  <c r="M304" i="9" s="1"/>
  <c r="P304" i="9" s="1"/>
  <c r="N306" i="9"/>
  <c r="N304" i="9" s="1"/>
  <c r="I309" i="9"/>
  <c r="K309" i="9" s="1"/>
  <c r="I310" i="9"/>
  <c r="K310" i="9" s="1"/>
  <c r="I311" i="9"/>
  <c r="K311" i="9" s="1"/>
  <c r="I312" i="9"/>
  <c r="K312" i="9" s="1"/>
  <c r="J314" i="9"/>
  <c r="L316" i="9"/>
  <c r="O316" i="9" s="1"/>
  <c r="M316" i="9"/>
  <c r="N316" i="9"/>
  <c r="O319" i="9"/>
  <c r="P319" i="9"/>
  <c r="L320" i="9"/>
  <c r="L318" i="9" s="1"/>
  <c r="O318" i="9" s="1"/>
  <c r="M320" i="9"/>
  <c r="N320" i="9"/>
  <c r="N318" i="9" s="1"/>
  <c r="O322" i="9"/>
  <c r="P322" i="9"/>
  <c r="L323" i="9"/>
  <c r="L321" i="9" s="1"/>
  <c r="O321" i="9" s="1"/>
  <c r="M323" i="9"/>
  <c r="N323" i="9"/>
  <c r="N321" i="9" s="1"/>
  <c r="I325" i="9"/>
  <c r="I314" i="9" s="1"/>
  <c r="K314" i="9" s="1"/>
  <c r="I327" i="9"/>
  <c r="L329" i="9"/>
  <c r="M329" i="9"/>
  <c r="N329" i="9"/>
  <c r="P329" i="9"/>
  <c r="O332" i="9"/>
  <c r="P332" i="9"/>
  <c r="L333" i="9"/>
  <c r="M333" i="9"/>
  <c r="M331" i="9" s="1"/>
  <c r="N333" i="9"/>
  <c r="O335" i="9"/>
  <c r="P335" i="9"/>
  <c r="L336" i="9"/>
  <c r="O336" i="9" s="1"/>
  <c r="M336" i="9"/>
  <c r="P336" i="9" s="1"/>
  <c r="N336" i="9"/>
  <c r="N334" i="9" s="1"/>
  <c r="D337" i="9"/>
  <c r="I338" i="9"/>
  <c r="J338" i="9"/>
  <c r="I340" i="9"/>
  <c r="J340" i="9"/>
  <c r="J341" i="9"/>
  <c r="J342" i="9"/>
  <c r="J343" i="9"/>
  <c r="L346" i="9"/>
  <c r="M346" i="9"/>
  <c r="P346" i="9" s="1"/>
  <c r="N346" i="9"/>
  <c r="O346" i="9"/>
  <c r="O349" i="9"/>
  <c r="P349" i="9"/>
  <c r="L350" i="9"/>
  <c r="L348" i="9" s="1"/>
  <c r="M350" i="9"/>
  <c r="M348" i="9" s="1"/>
  <c r="N350" i="9"/>
  <c r="N348" i="9" s="1"/>
  <c r="O352" i="9"/>
  <c r="P352" i="9"/>
  <c r="L353" i="9"/>
  <c r="M353" i="9"/>
  <c r="M351" i="9" s="1"/>
  <c r="N353" i="9"/>
  <c r="N351" i="9" s="1"/>
  <c r="I355" i="9"/>
  <c r="K355" i="9" s="1"/>
  <c r="J358" i="9"/>
  <c r="K358" i="9"/>
  <c r="I359" i="9"/>
  <c r="K359" i="9" s="1"/>
  <c r="J359" i="9"/>
  <c r="I360" i="9"/>
  <c r="K360" i="9" s="1"/>
  <c r="J360" i="9"/>
  <c r="J361" i="9"/>
  <c r="K361" i="9"/>
  <c r="I362" i="9"/>
  <c r="K362" i="9" s="1"/>
  <c r="J362" i="9"/>
  <c r="J355" i="9" s="1"/>
  <c r="J363" i="9"/>
  <c r="K363" i="9"/>
  <c r="I365" i="9"/>
  <c r="K365" i="9" s="1"/>
  <c r="J368" i="9"/>
  <c r="K368" i="9"/>
  <c r="I369" i="9"/>
  <c r="K369" i="9" s="1"/>
  <c r="J369" i="9"/>
  <c r="I370" i="9"/>
  <c r="K370" i="9" s="1"/>
  <c r="J370" i="9"/>
  <c r="J371" i="9"/>
  <c r="K371" i="9"/>
  <c r="I372" i="9"/>
  <c r="K372" i="9" s="1"/>
  <c r="J372" i="9"/>
  <c r="J365" i="9" s="1"/>
  <c r="J373" i="9"/>
  <c r="K373" i="9"/>
  <c r="I374" i="9"/>
  <c r="K374" i="9" s="1"/>
  <c r="J377" i="9"/>
  <c r="K377" i="9"/>
  <c r="I378" i="9"/>
  <c r="K378" i="9" s="1"/>
  <c r="J378" i="9"/>
  <c r="I379" i="9"/>
  <c r="K379" i="9" s="1"/>
  <c r="J379" i="9"/>
  <c r="J380" i="9"/>
  <c r="K380" i="9"/>
  <c r="I381" i="9"/>
  <c r="K381" i="9" s="1"/>
  <c r="J381" i="9"/>
  <c r="J374" i="9" s="1"/>
  <c r="J382" i="9"/>
  <c r="K382" i="9"/>
  <c r="I385" i="9"/>
  <c r="K385" i="9" s="1"/>
  <c r="J385" i="9"/>
  <c r="I388" i="9"/>
  <c r="K388" i="9" s="1"/>
  <c r="J388" i="9"/>
  <c r="L390" i="9"/>
  <c r="O390" i="9" s="1"/>
  <c r="M390" i="9"/>
  <c r="N390" i="9"/>
  <c r="P390" i="9"/>
  <c r="O393" i="9"/>
  <c r="P393" i="9"/>
  <c r="L394" i="9"/>
  <c r="O394" i="9" s="1"/>
  <c r="M394" i="9"/>
  <c r="M392" i="9" s="1"/>
  <c r="P392" i="9" s="1"/>
  <c r="N394" i="9"/>
  <c r="N392" i="9" s="1"/>
  <c r="O396" i="9"/>
  <c r="P396" i="9"/>
  <c r="L397" i="9"/>
  <c r="O397" i="9" s="1"/>
  <c r="M397" i="9"/>
  <c r="M395" i="9" s="1"/>
  <c r="P395" i="9" s="1"/>
  <c r="N397" i="9"/>
  <c r="N395" i="9" s="1"/>
  <c r="K399" i="9"/>
  <c r="K400" i="9"/>
  <c r="I401" i="9"/>
  <c r="K401" i="9" s="1"/>
  <c r="J401" i="9"/>
  <c r="L403" i="9"/>
  <c r="O403" i="9" s="1"/>
  <c r="M403" i="9"/>
  <c r="P403" i="9" s="1"/>
  <c r="N403" i="9"/>
  <c r="O406" i="9"/>
  <c r="P406" i="9"/>
  <c r="L407" i="9"/>
  <c r="L405" i="9" s="1"/>
  <c r="O405" i="9" s="1"/>
  <c r="M407" i="9"/>
  <c r="N407" i="9"/>
  <c r="N405" i="9" s="1"/>
  <c r="O409" i="9"/>
  <c r="P409" i="9"/>
  <c r="L410" i="9"/>
  <c r="L408" i="9" s="1"/>
  <c r="O408" i="9" s="1"/>
  <c r="M410" i="9"/>
  <c r="P410" i="9" s="1"/>
  <c r="N410" i="9"/>
  <c r="N408" i="9" s="1"/>
  <c r="K412" i="9"/>
  <c r="K413" i="9"/>
  <c r="L420" i="9"/>
  <c r="O420" i="9" s="1"/>
  <c r="M420" i="9"/>
  <c r="N420" i="9"/>
  <c r="P420" i="9"/>
  <c r="O423" i="9"/>
  <c r="P423" i="9"/>
  <c r="L424" i="9"/>
  <c r="L422" i="9" s="1"/>
  <c r="N428" i="9"/>
  <c r="N424" i="9" s="1"/>
  <c r="M429" i="9"/>
  <c r="P429" i="9" s="1"/>
  <c r="N429" i="9"/>
  <c r="O430" i="9"/>
  <c r="P430" i="9"/>
  <c r="L431" i="9"/>
  <c r="L429" i="9" s="1"/>
  <c r="O429" i="9" s="1"/>
  <c r="P431" i="9"/>
  <c r="J434" i="9"/>
  <c r="J418" i="9" s="1"/>
  <c r="I435" i="9"/>
  <c r="K435" i="9" s="1"/>
  <c r="I437" i="9"/>
  <c r="K437" i="9" s="1"/>
  <c r="I438" i="9"/>
  <c r="I439" i="9"/>
  <c r="K439" i="9" s="1"/>
  <c r="I440" i="9"/>
  <c r="K440" i="9" s="1"/>
  <c r="I441" i="9"/>
  <c r="K441" i="9" s="1"/>
  <c r="J442" i="9"/>
  <c r="J443" i="9"/>
  <c r="L445" i="9"/>
  <c r="O445" i="9" s="1"/>
  <c r="M445" i="9"/>
  <c r="P445" i="9" s="1"/>
  <c r="N445" i="9"/>
  <c r="M446" i="9"/>
  <c r="M444" i="9" s="1"/>
  <c r="P444" i="9" s="1"/>
  <c r="N446" i="9"/>
  <c r="P446" i="9"/>
  <c r="M447" i="9"/>
  <c r="P447" i="9"/>
  <c r="O448" i="9"/>
  <c r="P448" i="9"/>
  <c r="L449" i="9"/>
  <c r="L447" i="9" s="1"/>
  <c r="O447" i="9" s="1"/>
  <c r="N449" i="9"/>
  <c r="N447" i="9" s="1"/>
  <c r="P449" i="9"/>
  <c r="M454" i="9"/>
  <c r="P454" i="9" s="1"/>
  <c r="N454" i="9"/>
  <c r="O455" i="9"/>
  <c r="P455" i="9"/>
  <c r="L456" i="9"/>
  <c r="L454" i="9" s="1"/>
  <c r="O454" i="9" s="1"/>
  <c r="P456" i="9"/>
  <c r="K458" i="9"/>
  <c r="I460" i="9"/>
  <c r="K460" i="9" s="1"/>
  <c r="I462" i="9"/>
  <c r="I443" i="9" s="1"/>
  <c r="K443" i="9" s="1"/>
  <c r="I463" i="9"/>
  <c r="I464" i="9"/>
  <c r="I465" i="9"/>
  <c r="K465" i="9" s="1"/>
  <c r="J465" i="9"/>
  <c r="I466" i="9"/>
  <c r="K466" i="9" s="1"/>
  <c r="J466" i="9"/>
  <c r="L468" i="9"/>
  <c r="O468" i="9" s="1"/>
  <c r="M468" i="9"/>
  <c r="P468" i="9" s="1"/>
  <c r="N468" i="9"/>
  <c r="M469" i="9"/>
  <c r="P469" i="9" s="1"/>
  <c r="N469" i="9"/>
  <c r="M470" i="9"/>
  <c r="P470" i="9" s="1"/>
  <c r="O471" i="9"/>
  <c r="P471" i="9"/>
  <c r="L472" i="9"/>
  <c r="N472" i="9"/>
  <c r="N470" i="9" s="1"/>
  <c r="P472" i="9"/>
  <c r="M477" i="9"/>
  <c r="P477" i="9" s="1"/>
  <c r="N477" i="9"/>
  <c r="O478" i="9"/>
  <c r="P478" i="9"/>
  <c r="L479" i="9"/>
  <c r="P479" i="9"/>
  <c r="I483" i="9"/>
  <c r="K483" i="9" s="1"/>
  <c r="I485" i="9"/>
  <c r="K485" i="9" s="1"/>
  <c r="I487" i="9"/>
  <c r="K487" i="9" s="1"/>
  <c r="I489" i="9"/>
  <c r="K489" i="9" s="1"/>
  <c r="I492" i="9"/>
  <c r="K492" i="9" s="1"/>
  <c r="I495" i="9"/>
  <c r="K495" i="9" s="1"/>
  <c r="I498" i="9"/>
  <c r="K498" i="9" s="1"/>
  <c r="J500" i="9"/>
  <c r="K500" i="9"/>
  <c r="K501" i="9"/>
  <c r="L503" i="9"/>
  <c r="L502" i="9" s="1"/>
  <c r="O502" i="9" s="1"/>
  <c r="M503" i="9"/>
  <c r="N503" i="9"/>
  <c r="P503" i="9"/>
  <c r="L504" i="9"/>
  <c r="M504" i="9"/>
  <c r="N504" i="9"/>
  <c r="O504" i="9"/>
  <c r="L505" i="9"/>
  <c r="O505" i="9" s="1"/>
  <c r="M505" i="9"/>
  <c r="P505" i="9" s="1"/>
  <c r="N505" i="9"/>
  <c r="O506" i="9"/>
  <c r="P506" i="9"/>
  <c r="N507" i="9"/>
  <c r="O507" i="9"/>
  <c r="P507" i="9"/>
  <c r="L512" i="9"/>
  <c r="O512" i="9" s="1"/>
  <c r="M512" i="9"/>
  <c r="P512" i="9" s="1"/>
  <c r="N512" i="9"/>
  <c r="O513" i="9"/>
  <c r="P513" i="9"/>
  <c r="O514" i="9"/>
  <c r="P514" i="9"/>
  <c r="K516" i="9"/>
  <c r="J517" i="9"/>
  <c r="J501" i="9" s="1"/>
  <c r="K517" i="9"/>
  <c r="L524" i="9"/>
  <c r="M524" i="9"/>
  <c r="M523" i="9" s="1"/>
  <c r="P523" i="9" s="1"/>
  <c r="N524" i="9"/>
  <c r="P524" i="9"/>
  <c r="M525" i="9"/>
  <c r="P525" i="9" s="1"/>
  <c r="M526" i="9"/>
  <c r="P526" i="9"/>
  <c r="O527" i="9"/>
  <c r="P527" i="9"/>
  <c r="L528" i="9"/>
  <c r="L526" i="9" s="1"/>
  <c r="O526" i="9" s="1"/>
  <c r="N528" i="9"/>
  <c r="N526" i="9" s="1"/>
  <c r="P528" i="9"/>
  <c r="M533" i="9"/>
  <c r="P533" i="9" s="1"/>
  <c r="N533" i="9"/>
  <c r="O534" i="9"/>
  <c r="P534" i="9"/>
  <c r="L535" i="9"/>
  <c r="O535" i="9" s="1"/>
  <c r="P535" i="9"/>
  <c r="I537" i="9"/>
  <c r="I522" i="9" s="1"/>
  <c r="K522" i="9" s="1"/>
  <c r="I538" i="9"/>
  <c r="K538" i="9" s="1"/>
  <c r="I539" i="9"/>
  <c r="K539" i="9" s="1"/>
  <c r="I540" i="9"/>
  <c r="K540" i="9" s="1"/>
  <c r="I541" i="9"/>
  <c r="K541" i="9" s="1"/>
  <c r="I542" i="9"/>
  <c r="K542" i="9" s="1"/>
  <c r="L545" i="9"/>
  <c r="O548" i="9"/>
  <c r="P548" i="9"/>
  <c r="L549" i="9"/>
  <c r="N549" i="9"/>
  <c r="N546" i="9" s="1"/>
  <c r="M555" i="9"/>
  <c r="M545" i="9" s="1"/>
  <c r="N555" i="9"/>
  <c r="N545" i="9" s="1"/>
  <c r="O556" i="9"/>
  <c r="P556" i="9"/>
  <c r="L557" i="9"/>
  <c r="L555" i="9" s="1"/>
  <c r="O555" i="9" s="1"/>
  <c r="P557" i="9"/>
  <c r="I560" i="9"/>
  <c r="K560" i="9" s="1"/>
  <c r="J560" i="9"/>
  <c r="I561" i="9"/>
  <c r="K561" i="9" s="1"/>
  <c r="J561" i="9"/>
  <c r="I568" i="9"/>
  <c r="K568" i="9" s="1"/>
  <c r="J568" i="9"/>
  <c r="I569" i="9"/>
  <c r="K569" i="9" s="1"/>
  <c r="J569" i="9"/>
  <c r="I576" i="9"/>
  <c r="I559" i="9" s="1"/>
  <c r="I577" i="9"/>
  <c r="K577" i="9" s="1"/>
  <c r="J582" i="9"/>
  <c r="J576" i="9" s="1"/>
  <c r="J559" i="9" s="1"/>
  <c r="J543" i="9" s="1"/>
  <c r="J583" i="9"/>
  <c r="J577" i="9" s="1"/>
  <c r="I593" i="9"/>
  <c r="I594" i="9"/>
  <c r="J595" i="9"/>
  <c r="J596" i="9"/>
  <c r="J603" i="9"/>
  <c r="J604" i="9"/>
  <c r="J594" i="9" s="1"/>
  <c r="J611" i="9"/>
  <c r="K611" i="9"/>
  <c r="J612" i="9"/>
  <c r="K612" i="9"/>
  <c r="J613" i="9"/>
  <c r="K613" i="9"/>
  <c r="I620" i="9"/>
  <c r="K620" i="9" s="1"/>
  <c r="J620" i="9"/>
  <c r="I621" i="9"/>
  <c r="K621" i="9" s="1"/>
  <c r="J621" i="9"/>
  <c r="L630" i="9"/>
  <c r="O630" i="9" s="1"/>
  <c r="M630" i="9"/>
  <c r="N630" i="9"/>
  <c r="P630" i="9"/>
  <c r="M631" i="9"/>
  <c r="M632" i="9"/>
  <c r="P632" i="9"/>
  <c r="O633" i="9"/>
  <c r="P633" i="9"/>
  <c r="L634" i="9"/>
  <c r="L632" i="9" s="1"/>
  <c r="O632" i="9" s="1"/>
  <c r="N634" i="9"/>
  <c r="N632" i="9" s="1"/>
  <c r="P634" i="9"/>
  <c r="M639" i="9"/>
  <c r="P639" i="9" s="1"/>
  <c r="N639" i="9"/>
  <c r="O640" i="9"/>
  <c r="P640" i="9"/>
  <c r="L641" i="9"/>
  <c r="O641" i="9" s="1"/>
  <c r="P641" i="9"/>
  <c r="I643" i="9"/>
  <c r="K643" i="9" s="1"/>
  <c r="I644" i="9"/>
  <c r="K644" i="9" s="1"/>
  <c r="J645" i="9"/>
  <c r="K645" i="9"/>
  <c r="J646" i="9"/>
  <c r="K646" i="9"/>
  <c r="I647" i="9"/>
  <c r="K647" i="9" s="1"/>
  <c r="J647" i="9"/>
  <c r="J648" i="9"/>
  <c r="K648" i="9"/>
  <c r="I649" i="9"/>
  <c r="K649" i="9" s="1"/>
  <c r="J649" i="9"/>
  <c r="J650" i="9"/>
  <c r="K650" i="9"/>
  <c r="I651" i="9"/>
  <c r="I628" i="9" s="1"/>
  <c r="K628" i="9" s="1"/>
  <c r="J651" i="9"/>
  <c r="J628" i="9" s="1"/>
  <c r="J652" i="9"/>
  <c r="K652" i="9"/>
  <c r="L656" i="9"/>
  <c r="M656" i="9"/>
  <c r="M655" i="9" s="1"/>
  <c r="P655" i="9" s="1"/>
  <c r="N656" i="9"/>
  <c r="P656" i="9"/>
  <c r="M657" i="9"/>
  <c r="P657" i="9" s="1"/>
  <c r="M658" i="9"/>
  <c r="P658" i="9"/>
  <c r="O659" i="9"/>
  <c r="P659" i="9"/>
  <c r="L660" i="9"/>
  <c r="L657" i="9" s="1"/>
  <c r="O657" i="9" s="1"/>
  <c r="N660" i="9"/>
  <c r="N658" i="9" s="1"/>
  <c r="P660" i="9"/>
  <c r="L665" i="9"/>
  <c r="M665" i="9"/>
  <c r="P665" i="9" s="1"/>
  <c r="N665" i="9"/>
  <c r="O665" i="9"/>
  <c r="O666" i="9"/>
  <c r="P666" i="9"/>
  <c r="O667" i="9"/>
  <c r="P667" i="9"/>
  <c r="I669" i="9"/>
  <c r="K672" i="9" s="1"/>
  <c r="I670" i="9"/>
  <c r="K670" i="9" s="1"/>
  <c r="I671" i="9"/>
  <c r="K671" i="9" s="1"/>
  <c r="J675" i="9"/>
  <c r="J669" i="9" s="1"/>
  <c r="J654" i="9" s="1"/>
  <c r="I678" i="9"/>
  <c r="K678" i="9" s="1"/>
  <c r="J678" i="9"/>
  <c r="J679" i="9"/>
  <c r="L686" i="9"/>
  <c r="O686" i="9" s="1"/>
  <c r="M686" i="9"/>
  <c r="P686" i="9" s="1"/>
  <c r="N686" i="9"/>
  <c r="N687" i="9"/>
  <c r="N685" i="9" s="1"/>
  <c r="L690" i="9"/>
  <c r="L688" i="9" s="1"/>
  <c r="N690" i="9"/>
  <c r="N688" i="9" s="1"/>
  <c r="L695" i="9"/>
  <c r="M695" i="9"/>
  <c r="P695" i="9" s="1"/>
  <c r="N695" i="9"/>
  <c r="O695" i="9"/>
  <c r="O696" i="9"/>
  <c r="P696" i="9"/>
  <c r="O697" i="9"/>
  <c r="P697" i="9"/>
  <c r="I699" i="9"/>
  <c r="K699" i="9" s="1"/>
  <c r="J699" i="9"/>
  <c r="I700" i="9"/>
  <c r="K700" i="9" s="1"/>
  <c r="J700" i="9"/>
  <c r="I701" i="9"/>
  <c r="K701" i="9" s="1"/>
  <c r="J701" i="9"/>
  <c r="I704" i="9"/>
  <c r="I707" i="9"/>
  <c r="I708" i="9"/>
  <c r="K708" i="9" s="1"/>
  <c r="J708" i="9"/>
  <c r="J718" i="9"/>
  <c r="J719" i="9"/>
  <c r="I720" i="9"/>
  <c r="J720" i="9"/>
  <c r="I721" i="9"/>
  <c r="I722" i="9"/>
  <c r="I723" i="9"/>
  <c r="J723" i="9"/>
  <c r="J724" i="9"/>
  <c r="I725" i="9"/>
  <c r="J725" i="9"/>
  <c r="I726" i="9"/>
  <c r="J726" i="9"/>
  <c r="J727" i="9"/>
  <c r="I728" i="9"/>
  <c r="J728" i="9"/>
  <c r="I729" i="9"/>
  <c r="K729" i="9" s="1"/>
  <c r="J729" i="9"/>
  <c r="J736" i="9"/>
  <c r="K736" i="9"/>
  <c r="L737" i="9"/>
  <c r="O737" i="9" s="1"/>
  <c r="L738" i="9"/>
  <c r="M738" i="9"/>
  <c r="P738" i="9" s="1"/>
  <c r="N738" i="9"/>
  <c r="O738" i="9"/>
  <c r="L739" i="9"/>
  <c r="O739" i="9" s="1"/>
  <c r="M739" i="9"/>
  <c r="P739" i="9"/>
  <c r="L740" i="9"/>
  <c r="M740" i="9"/>
  <c r="P740" i="9" s="1"/>
  <c r="O740" i="9"/>
  <c r="O741" i="9"/>
  <c r="P741" i="9"/>
  <c r="N742" i="9"/>
  <c r="N740" i="9" s="1"/>
  <c r="O742" i="9"/>
  <c r="P742" i="9"/>
  <c r="L747" i="9"/>
  <c r="M747" i="9"/>
  <c r="P747" i="9" s="1"/>
  <c r="N747" i="9"/>
  <c r="O747" i="9"/>
  <c r="O748" i="9"/>
  <c r="P748" i="9"/>
  <c r="O749" i="9"/>
  <c r="P749" i="9"/>
  <c r="J753" i="9"/>
  <c r="K753" i="9"/>
  <c r="L755" i="9"/>
  <c r="L754" i="9" s="1"/>
  <c r="O754" i="9" s="1"/>
  <c r="M755" i="9"/>
  <c r="P755" i="9" s="1"/>
  <c r="N755" i="9"/>
  <c r="L756" i="9"/>
  <c r="O756" i="9" s="1"/>
  <c r="M756" i="9"/>
  <c r="N756" i="9"/>
  <c r="P756" i="9"/>
  <c r="L757" i="9"/>
  <c r="M757" i="9"/>
  <c r="P757" i="9" s="1"/>
  <c r="O757" i="9"/>
  <c r="O758" i="9"/>
  <c r="P758" i="9"/>
  <c r="N759" i="9"/>
  <c r="N757" i="9" s="1"/>
  <c r="O759" i="9"/>
  <c r="P759" i="9"/>
  <c r="L764" i="9"/>
  <c r="O764" i="9" s="1"/>
  <c r="M764" i="9"/>
  <c r="P764" i="9" s="1"/>
  <c r="N764" i="9"/>
  <c r="O765" i="9"/>
  <c r="P765" i="9"/>
  <c r="O766" i="9"/>
  <c r="P766" i="9"/>
  <c r="J769" i="9"/>
  <c r="K769" i="9"/>
  <c r="L770" i="9"/>
  <c r="O770" i="9" s="1"/>
  <c r="L771" i="9"/>
  <c r="M771" i="9"/>
  <c r="P771" i="9" s="1"/>
  <c r="N771" i="9"/>
  <c r="O771" i="9"/>
  <c r="L772" i="9"/>
  <c r="O772" i="9" s="1"/>
  <c r="M772" i="9"/>
  <c r="P772" i="9"/>
  <c r="L773" i="9"/>
  <c r="M773" i="9"/>
  <c r="P773" i="9" s="1"/>
  <c r="O773" i="9"/>
  <c r="O774" i="9"/>
  <c r="P774" i="9"/>
  <c r="N775" i="9"/>
  <c r="N773" i="9" s="1"/>
  <c r="O775" i="9"/>
  <c r="P775" i="9"/>
  <c r="L780" i="9"/>
  <c r="M780" i="9"/>
  <c r="P780" i="9" s="1"/>
  <c r="N780" i="9"/>
  <c r="O780" i="9"/>
  <c r="O781" i="9"/>
  <c r="P781" i="9"/>
  <c r="O782" i="9"/>
  <c r="P782" i="9"/>
  <c r="L787" i="9"/>
  <c r="O787" i="9" s="1"/>
  <c r="M787" i="9"/>
  <c r="P787" i="9" s="1"/>
  <c r="N787" i="9"/>
  <c r="M788" i="9"/>
  <c r="M789" i="9"/>
  <c r="P789" i="9"/>
  <c r="O790" i="9"/>
  <c r="P790" i="9"/>
  <c r="L791" i="9"/>
  <c r="L788" i="9" s="1"/>
  <c r="O788" i="9" s="1"/>
  <c r="N791" i="9"/>
  <c r="N789" i="9" s="1"/>
  <c r="P791" i="9"/>
  <c r="L796" i="9"/>
  <c r="O796" i="9" s="1"/>
  <c r="M796" i="9"/>
  <c r="P796" i="9" s="1"/>
  <c r="N796" i="9"/>
  <c r="O797" i="9"/>
  <c r="P797" i="9"/>
  <c r="O798" i="9"/>
  <c r="P798" i="9"/>
  <c r="I800" i="9"/>
  <c r="K800" i="9" s="1"/>
  <c r="J800" i="9"/>
  <c r="J785" i="9" s="1"/>
  <c r="J801" i="9"/>
  <c r="K802" i="9"/>
  <c r="J804" i="9"/>
  <c r="K804" i="9"/>
  <c r="L806" i="9"/>
  <c r="O806" i="9" s="1"/>
  <c r="M806" i="9"/>
  <c r="P806" i="9" s="1"/>
  <c r="N806" i="9"/>
  <c r="L807" i="9"/>
  <c r="O807" i="9" s="1"/>
  <c r="M807" i="9"/>
  <c r="L808" i="9"/>
  <c r="O808" i="9" s="1"/>
  <c r="M808" i="9"/>
  <c r="P808" i="9"/>
  <c r="O809" i="9"/>
  <c r="P809" i="9"/>
  <c r="N810" i="9"/>
  <c r="N807" i="9" s="1"/>
  <c r="O810" i="9"/>
  <c r="P810" i="9"/>
  <c r="L815" i="9"/>
  <c r="O815" i="9" s="1"/>
  <c r="M815" i="9"/>
  <c r="N815" i="9"/>
  <c r="P815" i="9"/>
  <c r="O816" i="9"/>
  <c r="P816" i="9"/>
  <c r="O817" i="9"/>
  <c r="P817" i="9"/>
  <c r="H820" i="9"/>
  <c r="I821" i="9"/>
  <c r="J821" i="9"/>
  <c r="I822" i="9"/>
  <c r="J822" i="9"/>
  <c r="I823" i="9"/>
  <c r="J823" i="9"/>
  <c r="I824" i="9"/>
  <c r="J824" i="9"/>
  <c r="I825" i="9"/>
  <c r="J825" i="9"/>
  <c r="I826" i="9"/>
  <c r="J826" i="9"/>
  <c r="I827" i="9"/>
  <c r="J827" i="9"/>
  <c r="I828" i="9"/>
  <c r="J828" i="9"/>
  <c r="L22" i="8"/>
  <c r="M22" i="8"/>
  <c r="P22" i="8" s="1"/>
  <c r="N22" i="8"/>
  <c r="L25" i="8"/>
  <c r="M25" i="8"/>
  <c r="M15" i="8" s="1"/>
  <c r="N25" i="8"/>
  <c r="O25" i="8"/>
  <c r="L32" i="8"/>
  <c r="M32" i="8"/>
  <c r="N32" i="8"/>
  <c r="O32" i="8"/>
  <c r="L35" i="8"/>
  <c r="M35" i="8"/>
  <c r="P35" i="8" s="1"/>
  <c r="N35" i="8"/>
  <c r="N15" i="8" s="1"/>
  <c r="M36" i="8"/>
  <c r="N36" i="8"/>
  <c r="L42" i="8"/>
  <c r="M42" i="8"/>
  <c r="P42" i="8" s="1"/>
  <c r="N42" i="8"/>
  <c r="O45" i="8"/>
  <c r="P45" i="8"/>
  <c r="L46" i="8"/>
  <c r="M46" i="8"/>
  <c r="M44" i="8" s="1"/>
  <c r="N46" i="8"/>
  <c r="N44" i="8" s="1"/>
  <c r="O48" i="8"/>
  <c r="P48" i="8"/>
  <c r="L49" i="8"/>
  <c r="L47" i="8" s="1"/>
  <c r="O47" i="8" s="1"/>
  <c r="M49" i="8"/>
  <c r="N49" i="8"/>
  <c r="N47" i="8" s="1"/>
  <c r="L54" i="8"/>
  <c r="M54" i="8"/>
  <c r="N54" i="8"/>
  <c r="O54" i="8"/>
  <c r="O57" i="8"/>
  <c r="P57" i="8"/>
  <c r="L58" i="8"/>
  <c r="M58" i="8"/>
  <c r="N58" i="8"/>
  <c r="O60" i="8"/>
  <c r="P60" i="8"/>
  <c r="L61" i="8"/>
  <c r="M61" i="8"/>
  <c r="M59" i="8" s="1"/>
  <c r="P59" i="8" s="1"/>
  <c r="N61" i="8"/>
  <c r="L67" i="8"/>
  <c r="M67" i="8"/>
  <c r="N67" i="8"/>
  <c r="P67" i="8"/>
  <c r="O70" i="8"/>
  <c r="P70" i="8"/>
  <c r="L71" i="8"/>
  <c r="M71" i="8"/>
  <c r="N71" i="8"/>
  <c r="N69" i="8" s="1"/>
  <c r="O73" i="8"/>
  <c r="P73" i="8"/>
  <c r="L74" i="8"/>
  <c r="L72" i="8" s="1"/>
  <c r="O72" i="8" s="1"/>
  <c r="M74" i="8"/>
  <c r="N74" i="8"/>
  <c r="N72" i="8" s="1"/>
  <c r="J76" i="8"/>
  <c r="J64" i="8" s="1"/>
  <c r="J77" i="8"/>
  <c r="J65" i="8" s="1"/>
  <c r="I78" i="8"/>
  <c r="K78" i="8" s="1"/>
  <c r="I79" i="8"/>
  <c r="I80" i="8"/>
  <c r="K80" i="8" s="1"/>
  <c r="I81" i="8"/>
  <c r="K81" i="8" s="1"/>
  <c r="I82" i="8"/>
  <c r="K82" i="8" s="1"/>
  <c r="I83" i="8"/>
  <c r="K83" i="8" s="1"/>
  <c r="I84" i="8"/>
  <c r="K84" i="8" s="1"/>
  <c r="L89" i="8"/>
  <c r="O89" i="8" s="1"/>
  <c r="M89" i="8"/>
  <c r="N89" i="8"/>
  <c r="O92" i="8"/>
  <c r="P92" i="8"/>
  <c r="L93" i="8"/>
  <c r="M93" i="8"/>
  <c r="M91" i="8" s="1"/>
  <c r="N93" i="8"/>
  <c r="O95" i="8"/>
  <c r="P95" i="8"/>
  <c r="L96" i="8"/>
  <c r="M96" i="8"/>
  <c r="M94" i="8" s="1"/>
  <c r="P94" i="8" s="1"/>
  <c r="N96" i="8"/>
  <c r="N94" i="8" s="1"/>
  <c r="I98" i="8"/>
  <c r="I86" i="8" s="1"/>
  <c r="J98" i="8"/>
  <c r="J86" i="8" s="1"/>
  <c r="I99" i="8"/>
  <c r="I87" i="8" s="1"/>
  <c r="J99" i="8"/>
  <c r="I100" i="8"/>
  <c r="J100" i="8"/>
  <c r="I102" i="8"/>
  <c r="K102" i="8" s="1"/>
  <c r="I103" i="8"/>
  <c r="K103" i="8" s="1"/>
  <c r="I104" i="8"/>
  <c r="K104" i="8" s="1"/>
  <c r="I106" i="8"/>
  <c r="K106" i="8" s="1"/>
  <c r="I107" i="8"/>
  <c r="K107" i="8" s="1"/>
  <c r="I109" i="8"/>
  <c r="K109" i="8" s="1"/>
  <c r="I110" i="8"/>
  <c r="K110" i="8" s="1"/>
  <c r="I111" i="8"/>
  <c r="K111" i="8" s="1"/>
  <c r="J111" i="8"/>
  <c r="J112" i="8"/>
  <c r="I113" i="8"/>
  <c r="K113" i="8" s="1"/>
  <c r="I114" i="8"/>
  <c r="K114" i="8" s="1"/>
  <c r="I115" i="8"/>
  <c r="I116" i="8"/>
  <c r="K116" i="8" s="1"/>
  <c r="K118" i="8"/>
  <c r="L120" i="8"/>
  <c r="M120" i="8"/>
  <c r="N120" i="8"/>
  <c r="P120" i="8"/>
  <c r="O123" i="8"/>
  <c r="P123" i="8"/>
  <c r="L124" i="8"/>
  <c r="L122" i="8" s="1"/>
  <c r="O122" i="8" s="1"/>
  <c r="M124" i="8"/>
  <c r="N124" i="8"/>
  <c r="N122" i="8" s="1"/>
  <c r="O126" i="8"/>
  <c r="P126" i="8"/>
  <c r="L127" i="8"/>
  <c r="L125" i="8" s="1"/>
  <c r="O125" i="8" s="1"/>
  <c r="M127" i="8"/>
  <c r="N127" i="8"/>
  <c r="N125" i="8" s="1"/>
  <c r="J130" i="8"/>
  <c r="L133" i="8"/>
  <c r="M133" i="8"/>
  <c r="P133" i="8" s="1"/>
  <c r="N133" i="8"/>
  <c r="O133" i="8"/>
  <c r="O136" i="8"/>
  <c r="P136" i="8"/>
  <c r="L137" i="8"/>
  <c r="O137" i="8" s="1"/>
  <c r="M137" i="8"/>
  <c r="M135" i="8" s="1"/>
  <c r="P135" i="8" s="1"/>
  <c r="N137" i="8"/>
  <c r="N135" i="8" s="1"/>
  <c r="O139" i="8"/>
  <c r="P139" i="8"/>
  <c r="L140" i="8"/>
  <c r="O140" i="8" s="1"/>
  <c r="M140" i="8"/>
  <c r="M138" i="8" s="1"/>
  <c r="P138" i="8" s="1"/>
  <c r="N140" i="8"/>
  <c r="N138" i="8" s="1"/>
  <c r="I144" i="8"/>
  <c r="K144" i="8" s="1"/>
  <c r="I145" i="8"/>
  <c r="K145" i="8" s="1"/>
  <c r="I146" i="8"/>
  <c r="K146" i="8" s="1"/>
  <c r="J148" i="8"/>
  <c r="L150" i="8"/>
  <c r="O150" i="8" s="1"/>
  <c r="M150" i="8"/>
  <c r="N150" i="8"/>
  <c r="P150" i="8"/>
  <c r="O153" i="8"/>
  <c r="P153" i="8"/>
  <c r="L154" i="8"/>
  <c r="O154" i="8" s="1"/>
  <c r="M154" i="8"/>
  <c r="N154" i="8"/>
  <c r="O156" i="8"/>
  <c r="P156" i="8"/>
  <c r="L157" i="8"/>
  <c r="O157" i="8" s="1"/>
  <c r="M157" i="8"/>
  <c r="N157" i="8"/>
  <c r="N155" i="8" s="1"/>
  <c r="I159" i="8"/>
  <c r="L166" i="8"/>
  <c r="M166" i="8"/>
  <c r="N166" i="8"/>
  <c r="P166" i="8"/>
  <c r="O169" i="8"/>
  <c r="P169" i="8"/>
  <c r="L170" i="8"/>
  <c r="L168" i="8" s="1"/>
  <c r="O168" i="8" s="1"/>
  <c r="M170" i="8"/>
  <c r="N170" i="8"/>
  <c r="O172" i="8"/>
  <c r="P172" i="8"/>
  <c r="L173" i="8"/>
  <c r="L171" i="8" s="1"/>
  <c r="O171" i="8" s="1"/>
  <c r="M173" i="8"/>
  <c r="P173" i="8" s="1"/>
  <c r="N173" i="8"/>
  <c r="N171" i="8" s="1"/>
  <c r="J174" i="8"/>
  <c r="I176" i="8"/>
  <c r="I174" i="8" s="1"/>
  <c r="I164" i="8" s="1"/>
  <c r="K164" i="8" s="1"/>
  <c r="J177" i="8"/>
  <c r="L182" i="8"/>
  <c r="M182" i="8"/>
  <c r="N182" i="8"/>
  <c r="P182" i="8"/>
  <c r="O185" i="8"/>
  <c r="P185" i="8"/>
  <c r="L186" i="8"/>
  <c r="M186" i="8"/>
  <c r="M184" i="8" s="1"/>
  <c r="N186" i="8"/>
  <c r="N184" i="8" s="1"/>
  <c r="O188" i="8"/>
  <c r="P188" i="8"/>
  <c r="L189" i="8"/>
  <c r="L187" i="8" s="1"/>
  <c r="O187" i="8" s="1"/>
  <c r="M189" i="8"/>
  <c r="P189" i="8" s="1"/>
  <c r="N189" i="8"/>
  <c r="N187" i="8" s="1"/>
  <c r="J190" i="8"/>
  <c r="L191" i="8"/>
  <c r="O191" i="8" s="1"/>
  <c r="P191" i="8"/>
  <c r="I193" i="8"/>
  <c r="K193" i="8" s="1"/>
  <c r="J194" i="8"/>
  <c r="J197" i="8"/>
  <c r="N198" i="8"/>
  <c r="P198" i="8"/>
  <c r="L199" i="8"/>
  <c r="L200" i="8"/>
  <c r="L201" i="8"/>
  <c r="L202" i="8"/>
  <c r="I204" i="8"/>
  <c r="K206" i="8"/>
  <c r="K207" i="8"/>
  <c r="J208" i="8"/>
  <c r="N209" i="8"/>
  <c r="P209" i="8"/>
  <c r="L210" i="8"/>
  <c r="L211" i="8"/>
  <c r="L212" i="8"/>
  <c r="I214" i="8"/>
  <c r="K214" i="8" s="1"/>
  <c r="I215" i="8"/>
  <c r="J216" i="8"/>
  <c r="N217" i="8"/>
  <c r="P217" i="8"/>
  <c r="L218" i="8"/>
  <c r="L219" i="8"/>
  <c r="L220" i="8"/>
  <c r="I223" i="8"/>
  <c r="K223" i="8" s="1"/>
  <c r="I224" i="8"/>
  <c r="K224" i="8" s="1"/>
  <c r="I225" i="8"/>
  <c r="K225" i="8" s="1"/>
  <c r="N228" i="8"/>
  <c r="N229" i="8"/>
  <c r="N230" i="8"/>
  <c r="N231" i="8"/>
  <c r="J233" i="8"/>
  <c r="I235" i="8"/>
  <c r="K235" i="8" s="1"/>
  <c r="J235" i="8"/>
  <c r="I236" i="8"/>
  <c r="J236" i="8"/>
  <c r="J237" i="8"/>
  <c r="N238" i="8"/>
  <c r="P238" i="8"/>
  <c r="L239" i="8"/>
  <c r="L240" i="8"/>
  <c r="L241" i="8"/>
  <c r="L242" i="8"/>
  <c r="I244" i="8"/>
  <c r="K246" i="8"/>
  <c r="K247" i="8"/>
  <c r="J248" i="8"/>
  <c r="N249" i="8"/>
  <c r="P249" i="8"/>
  <c r="L250" i="8"/>
  <c r="L251" i="8"/>
  <c r="L252" i="8"/>
  <c r="L253" i="8"/>
  <c r="I255" i="8"/>
  <c r="I248" i="8" s="1"/>
  <c r="K248" i="8" s="1"/>
  <c r="K257" i="8"/>
  <c r="K258" i="8"/>
  <c r="J260" i="8"/>
  <c r="L262" i="8"/>
  <c r="M262" i="8"/>
  <c r="P262" i="8" s="1"/>
  <c r="N262" i="8"/>
  <c r="O265" i="8"/>
  <c r="P265" i="8"/>
  <c r="L266" i="8"/>
  <c r="L264" i="8" s="1"/>
  <c r="M266" i="8"/>
  <c r="N266" i="8"/>
  <c r="O268" i="8"/>
  <c r="P268" i="8"/>
  <c r="L269" i="8"/>
  <c r="L267" i="8" s="1"/>
  <c r="O267" i="8" s="1"/>
  <c r="M269" i="8"/>
  <c r="N269" i="8"/>
  <c r="N267" i="8" s="1"/>
  <c r="I271" i="8"/>
  <c r="K271" i="8" s="1"/>
  <c r="J276" i="8"/>
  <c r="L278" i="8"/>
  <c r="M278" i="8"/>
  <c r="P278" i="8" s="1"/>
  <c r="N278" i="8"/>
  <c r="O278" i="8"/>
  <c r="O281" i="8"/>
  <c r="P281" i="8"/>
  <c r="L282" i="8"/>
  <c r="L280" i="8" s="1"/>
  <c r="M282" i="8"/>
  <c r="M280" i="8" s="1"/>
  <c r="N282" i="8"/>
  <c r="O284" i="8"/>
  <c r="P284" i="8"/>
  <c r="L285" i="8"/>
  <c r="L283" i="8" s="1"/>
  <c r="O283" i="8" s="1"/>
  <c r="M285" i="8"/>
  <c r="P285" i="8" s="1"/>
  <c r="N285" i="8"/>
  <c r="N283" i="8" s="1"/>
  <c r="I287" i="8"/>
  <c r="I276" i="8" s="1"/>
  <c r="K276" i="8" s="1"/>
  <c r="I288" i="8"/>
  <c r="I275" i="8" s="1"/>
  <c r="I290" i="8"/>
  <c r="K290" i="8" s="1"/>
  <c r="I291" i="8"/>
  <c r="K291" i="8" s="1"/>
  <c r="I293" i="8"/>
  <c r="K293" i="8" s="1"/>
  <c r="I294" i="8"/>
  <c r="K294" i="8" s="1"/>
  <c r="J297" i="8"/>
  <c r="L299" i="8"/>
  <c r="O299" i="8" s="1"/>
  <c r="M299" i="8"/>
  <c r="N299" i="8"/>
  <c r="O302" i="8"/>
  <c r="P302" i="8"/>
  <c r="L303" i="8"/>
  <c r="M303" i="8"/>
  <c r="N303" i="8"/>
  <c r="N301" i="8" s="1"/>
  <c r="O305" i="8"/>
  <c r="P305" i="8"/>
  <c r="L306" i="8"/>
  <c r="O306" i="8" s="1"/>
  <c r="M306" i="8"/>
  <c r="N306" i="8"/>
  <c r="N304" i="8" s="1"/>
  <c r="I309" i="8"/>
  <c r="I297" i="8" s="1"/>
  <c r="K297" i="8" s="1"/>
  <c r="I310" i="8"/>
  <c r="K310" i="8" s="1"/>
  <c r="I311" i="8"/>
  <c r="K311" i="8" s="1"/>
  <c r="I312" i="8"/>
  <c r="K312" i="8" s="1"/>
  <c r="J314" i="8"/>
  <c r="L316" i="8"/>
  <c r="M316" i="8"/>
  <c r="N316" i="8"/>
  <c r="O319" i="8"/>
  <c r="P319" i="8"/>
  <c r="L320" i="8"/>
  <c r="O320" i="8" s="1"/>
  <c r="M320" i="8"/>
  <c r="M318" i="8" s="1"/>
  <c r="P318" i="8" s="1"/>
  <c r="N320" i="8"/>
  <c r="N318" i="8" s="1"/>
  <c r="O322" i="8"/>
  <c r="P322" i="8"/>
  <c r="L323" i="8"/>
  <c r="O323" i="8" s="1"/>
  <c r="M323" i="8"/>
  <c r="P323" i="8" s="1"/>
  <c r="N323" i="8"/>
  <c r="N321" i="8" s="1"/>
  <c r="I325" i="8"/>
  <c r="I314" i="8" s="1"/>
  <c r="K314" i="8" s="1"/>
  <c r="I327" i="8"/>
  <c r="L329" i="8"/>
  <c r="M329" i="8"/>
  <c r="P329" i="8" s="1"/>
  <c r="N329" i="8"/>
  <c r="O329" i="8"/>
  <c r="O332" i="8"/>
  <c r="P332" i="8"/>
  <c r="L333" i="8"/>
  <c r="L331" i="8" s="1"/>
  <c r="M333" i="8"/>
  <c r="M331" i="8" s="1"/>
  <c r="N333" i="8"/>
  <c r="N331" i="8" s="1"/>
  <c r="O335" i="8"/>
  <c r="P335" i="8"/>
  <c r="L336" i="8"/>
  <c r="L334" i="8" s="1"/>
  <c r="O334" i="8" s="1"/>
  <c r="M336" i="8"/>
  <c r="M334" i="8" s="1"/>
  <c r="P334" i="8" s="1"/>
  <c r="N336" i="8"/>
  <c r="N334" i="8" s="1"/>
  <c r="D337" i="8"/>
  <c r="I338" i="8"/>
  <c r="J338" i="8"/>
  <c r="I340" i="8"/>
  <c r="J340" i="8"/>
  <c r="J341" i="8"/>
  <c r="J342" i="8"/>
  <c r="J343" i="8"/>
  <c r="L346" i="8"/>
  <c r="O346" i="8" s="1"/>
  <c r="M346" i="8"/>
  <c r="P346" i="8" s="1"/>
  <c r="N346" i="8"/>
  <c r="O349" i="8"/>
  <c r="P349" i="8"/>
  <c r="L350" i="8"/>
  <c r="L348" i="8" s="1"/>
  <c r="M350" i="8"/>
  <c r="M348" i="8" s="1"/>
  <c r="N350" i="8"/>
  <c r="O352" i="8"/>
  <c r="P352" i="8"/>
  <c r="L353" i="8"/>
  <c r="L351" i="8" s="1"/>
  <c r="M353" i="8"/>
  <c r="M351" i="8" s="1"/>
  <c r="N353" i="8"/>
  <c r="I355" i="8"/>
  <c r="K355" i="8" s="1"/>
  <c r="J358" i="8"/>
  <c r="K358" i="8"/>
  <c r="I359" i="8"/>
  <c r="K359" i="8" s="1"/>
  <c r="J359" i="8"/>
  <c r="I360" i="8"/>
  <c r="K360" i="8" s="1"/>
  <c r="J360" i="8"/>
  <c r="J361" i="8"/>
  <c r="K361" i="8"/>
  <c r="I362" i="8"/>
  <c r="K362" i="8" s="1"/>
  <c r="J362" i="8"/>
  <c r="J355" i="8" s="1"/>
  <c r="J363" i="8"/>
  <c r="K363" i="8"/>
  <c r="I365" i="8"/>
  <c r="J368" i="8"/>
  <c r="K368" i="8"/>
  <c r="I369" i="8"/>
  <c r="K369" i="8" s="1"/>
  <c r="J369" i="8"/>
  <c r="I370" i="8"/>
  <c r="K370" i="8" s="1"/>
  <c r="J370" i="8"/>
  <c r="J371" i="8"/>
  <c r="K371" i="8"/>
  <c r="I372" i="8"/>
  <c r="K372" i="8" s="1"/>
  <c r="J372" i="8"/>
  <c r="J365" i="8" s="1"/>
  <c r="A373" i="8"/>
  <c r="J373" i="8"/>
  <c r="K373" i="8"/>
  <c r="I374" i="8"/>
  <c r="J377" i="8"/>
  <c r="K377" i="8"/>
  <c r="I378" i="8"/>
  <c r="K378" i="8" s="1"/>
  <c r="J378" i="8"/>
  <c r="I379" i="8"/>
  <c r="J379" i="8"/>
  <c r="J380" i="8"/>
  <c r="K380" i="8"/>
  <c r="I381" i="8"/>
  <c r="J381" i="8"/>
  <c r="J374" i="8" s="1"/>
  <c r="A382" i="8"/>
  <c r="J382" i="8"/>
  <c r="K382" i="8"/>
  <c r="D384" i="8"/>
  <c r="I385" i="8"/>
  <c r="J385" i="8"/>
  <c r="I388" i="8"/>
  <c r="K388" i="8" s="1"/>
  <c r="J388" i="8"/>
  <c r="L390" i="8"/>
  <c r="M390" i="8"/>
  <c r="P390" i="8" s="1"/>
  <c r="N390" i="8"/>
  <c r="O393" i="8"/>
  <c r="P393" i="8"/>
  <c r="L394" i="8"/>
  <c r="O394" i="8" s="1"/>
  <c r="M394" i="8"/>
  <c r="N394" i="8"/>
  <c r="N392" i="8" s="1"/>
  <c r="O396" i="8"/>
  <c r="P396" i="8"/>
  <c r="L397" i="8"/>
  <c r="O397" i="8" s="1"/>
  <c r="M397" i="8"/>
  <c r="P397" i="8" s="1"/>
  <c r="N397" i="8"/>
  <c r="N395" i="8" s="1"/>
  <c r="K399" i="8"/>
  <c r="K400" i="8"/>
  <c r="I401" i="8"/>
  <c r="K401" i="8" s="1"/>
  <c r="J401" i="8"/>
  <c r="L403" i="8"/>
  <c r="M403" i="8"/>
  <c r="P403" i="8" s="1"/>
  <c r="N403" i="8"/>
  <c r="O403" i="8"/>
  <c r="O406" i="8"/>
  <c r="P406" i="8"/>
  <c r="L407" i="8"/>
  <c r="M407" i="8"/>
  <c r="M405" i="8" s="1"/>
  <c r="P405" i="8" s="1"/>
  <c r="N407" i="8"/>
  <c r="N405" i="8" s="1"/>
  <c r="O409" i="8"/>
  <c r="P409" i="8"/>
  <c r="L410" i="8"/>
  <c r="L408" i="8" s="1"/>
  <c r="O408" i="8" s="1"/>
  <c r="M410" i="8"/>
  <c r="M408" i="8" s="1"/>
  <c r="P408" i="8" s="1"/>
  <c r="N410" i="8"/>
  <c r="N408" i="8" s="1"/>
  <c r="K412" i="8"/>
  <c r="K413" i="8"/>
  <c r="L420" i="8"/>
  <c r="M420" i="8"/>
  <c r="P420" i="8" s="1"/>
  <c r="N420" i="8"/>
  <c r="O423" i="8"/>
  <c r="P423" i="8"/>
  <c r="L424" i="8"/>
  <c r="N424" i="8"/>
  <c r="M429" i="8"/>
  <c r="P429" i="8" s="1"/>
  <c r="N429" i="8"/>
  <c r="O430" i="8"/>
  <c r="P430" i="8"/>
  <c r="L431" i="8"/>
  <c r="L429" i="8" s="1"/>
  <c r="O429" i="8" s="1"/>
  <c r="P431" i="8"/>
  <c r="J434" i="8"/>
  <c r="J418" i="8" s="1"/>
  <c r="I435" i="8"/>
  <c r="I433" i="8" s="1"/>
  <c r="I417" i="8" s="1"/>
  <c r="I437" i="8"/>
  <c r="K437" i="8" s="1"/>
  <c r="I438" i="8"/>
  <c r="I439" i="8"/>
  <c r="K439" i="8" s="1"/>
  <c r="I440" i="8"/>
  <c r="K440" i="8" s="1"/>
  <c r="I441" i="8"/>
  <c r="K441" i="8" s="1"/>
  <c r="J442" i="8"/>
  <c r="J443" i="8"/>
  <c r="L445" i="8"/>
  <c r="M445" i="8"/>
  <c r="P445" i="8" s="1"/>
  <c r="N445" i="8"/>
  <c r="O445" i="8"/>
  <c r="O448" i="8"/>
  <c r="P448" i="8"/>
  <c r="L449" i="8"/>
  <c r="N449" i="8"/>
  <c r="N447" i="8" s="1"/>
  <c r="M454" i="8"/>
  <c r="P454" i="8" s="1"/>
  <c r="N454" i="8"/>
  <c r="O455" i="8"/>
  <c r="P455" i="8"/>
  <c r="L456" i="8"/>
  <c r="L454" i="8" s="1"/>
  <c r="O454" i="8" s="1"/>
  <c r="P456" i="8"/>
  <c r="K458" i="8"/>
  <c r="I460" i="8"/>
  <c r="I442" i="8" s="1"/>
  <c r="K442" i="8" s="1"/>
  <c r="I462" i="8"/>
  <c r="I443" i="8" s="1"/>
  <c r="K443" i="8" s="1"/>
  <c r="I463" i="8"/>
  <c r="I464" i="8"/>
  <c r="I465" i="8"/>
  <c r="K465" i="8" s="1"/>
  <c r="J465" i="8"/>
  <c r="I466" i="8"/>
  <c r="K466" i="8" s="1"/>
  <c r="J466" i="8"/>
  <c r="L468" i="8"/>
  <c r="M468" i="8"/>
  <c r="M467" i="8" s="1"/>
  <c r="P467" i="8" s="1"/>
  <c r="N468" i="8"/>
  <c r="P468" i="8"/>
  <c r="M469" i="8"/>
  <c r="P469" i="8"/>
  <c r="M470" i="8"/>
  <c r="P470" i="8" s="1"/>
  <c r="O471" i="8"/>
  <c r="P471" i="8"/>
  <c r="L472" i="8"/>
  <c r="N472" i="8"/>
  <c r="N470" i="8" s="1"/>
  <c r="P472" i="8"/>
  <c r="M477" i="8"/>
  <c r="P477" i="8" s="1"/>
  <c r="N477" i="8"/>
  <c r="O478" i="8"/>
  <c r="P478" i="8"/>
  <c r="L479" i="8"/>
  <c r="L477" i="8" s="1"/>
  <c r="O477" i="8" s="1"/>
  <c r="P479" i="8"/>
  <c r="I483" i="8"/>
  <c r="K483" i="8" s="1"/>
  <c r="I485" i="8"/>
  <c r="K485" i="8" s="1"/>
  <c r="I487" i="8"/>
  <c r="K487" i="8" s="1"/>
  <c r="I489" i="8"/>
  <c r="K489" i="8" s="1"/>
  <c r="I492" i="8"/>
  <c r="K492" i="8" s="1"/>
  <c r="I495" i="8"/>
  <c r="K495" i="8" s="1"/>
  <c r="I498" i="8"/>
  <c r="K498" i="8" s="1"/>
  <c r="J500" i="8"/>
  <c r="K500" i="8"/>
  <c r="J501" i="8"/>
  <c r="K501" i="8"/>
  <c r="L503" i="8"/>
  <c r="L502" i="8" s="1"/>
  <c r="O502" i="8" s="1"/>
  <c r="M503" i="8"/>
  <c r="N503" i="8"/>
  <c r="P503" i="8"/>
  <c r="L504" i="8"/>
  <c r="O504" i="8" s="1"/>
  <c r="M504" i="8"/>
  <c r="P504" i="8" s="1"/>
  <c r="L505" i="8"/>
  <c r="O505" i="8" s="1"/>
  <c r="M505" i="8"/>
  <c r="P505" i="8" s="1"/>
  <c r="O506" i="8"/>
  <c r="P506" i="8"/>
  <c r="N507" i="8"/>
  <c r="N505" i="8" s="1"/>
  <c r="O507" i="8"/>
  <c r="P507" i="8"/>
  <c r="L512" i="8"/>
  <c r="M512" i="8"/>
  <c r="P512" i="8" s="1"/>
  <c r="N512" i="8"/>
  <c r="O512" i="8"/>
  <c r="O513" i="8"/>
  <c r="P513" i="8"/>
  <c r="O514" i="8"/>
  <c r="P514" i="8"/>
  <c r="K516" i="8"/>
  <c r="J517" i="8"/>
  <c r="K517" i="8"/>
  <c r="L524" i="8"/>
  <c r="O524" i="8" s="1"/>
  <c r="M524" i="8"/>
  <c r="N524" i="8"/>
  <c r="N523" i="8" s="1"/>
  <c r="M525" i="8"/>
  <c r="P525" i="8" s="1"/>
  <c r="N525" i="8"/>
  <c r="M526" i="8"/>
  <c r="P526" i="8" s="1"/>
  <c r="O527" i="8"/>
  <c r="P527" i="8"/>
  <c r="L528" i="8"/>
  <c r="O528" i="8" s="1"/>
  <c r="N528" i="8"/>
  <c r="N526" i="8" s="1"/>
  <c r="P528" i="8"/>
  <c r="M533" i="8"/>
  <c r="P533" i="8" s="1"/>
  <c r="N533" i="8"/>
  <c r="O534" i="8"/>
  <c r="P534" i="8"/>
  <c r="L535" i="8"/>
  <c r="L533" i="8" s="1"/>
  <c r="O533" i="8" s="1"/>
  <c r="P535" i="8"/>
  <c r="I537" i="8"/>
  <c r="K537" i="8" s="1"/>
  <c r="I538" i="8"/>
  <c r="K538" i="8" s="1"/>
  <c r="I539" i="8"/>
  <c r="K539" i="8" s="1"/>
  <c r="I540" i="8"/>
  <c r="K540" i="8" s="1"/>
  <c r="I541" i="8"/>
  <c r="K541" i="8" s="1"/>
  <c r="I542" i="8"/>
  <c r="K542" i="8" s="1"/>
  <c r="L545" i="8"/>
  <c r="M545" i="8"/>
  <c r="P545" i="8" s="1"/>
  <c r="O545" i="8"/>
  <c r="O548" i="8"/>
  <c r="P548" i="8"/>
  <c r="L549" i="8"/>
  <c r="L547" i="8" s="1"/>
  <c r="N549" i="8"/>
  <c r="N546" i="8" s="1"/>
  <c r="M555" i="8"/>
  <c r="N555" i="8"/>
  <c r="N545" i="8" s="1"/>
  <c r="P555" i="8"/>
  <c r="O556" i="8"/>
  <c r="P556" i="8"/>
  <c r="L557" i="8"/>
  <c r="L555" i="8" s="1"/>
  <c r="O555" i="8" s="1"/>
  <c r="P557" i="8"/>
  <c r="I560" i="8"/>
  <c r="K560" i="8" s="1"/>
  <c r="J560" i="8"/>
  <c r="I561" i="8"/>
  <c r="K561" i="8" s="1"/>
  <c r="J561" i="8"/>
  <c r="I568" i="8"/>
  <c r="K568" i="8" s="1"/>
  <c r="J568" i="8"/>
  <c r="I569" i="8"/>
  <c r="K569" i="8" s="1"/>
  <c r="J569" i="8"/>
  <c r="I576" i="8"/>
  <c r="K576" i="8" s="1"/>
  <c r="J576" i="8"/>
  <c r="J559" i="8" s="1"/>
  <c r="J543" i="8" s="1"/>
  <c r="I577" i="8"/>
  <c r="K577" i="8" s="1"/>
  <c r="J582" i="8"/>
  <c r="J583" i="8"/>
  <c r="J577" i="8" s="1"/>
  <c r="I593" i="8"/>
  <c r="I592" i="8" s="1"/>
  <c r="I594" i="8"/>
  <c r="J595" i="8"/>
  <c r="J596" i="8"/>
  <c r="J603" i="8"/>
  <c r="J604" i="8"/>
  <c r="J594" i="8" s="1"/>
  <c r="J611" i="8"/>
  <c r="K611" i="8"/>
  <c r="J612" i="8"/>
  <c r="K612" i="8"/>
  <c r="J613" i="8"/>
  <c r="K613" i="8"/>
  <c r="I620" i="8"/>
  <c r="K620" i="8" s="1"/>
  <c r="J620" i="8"/>
  <c r="I621" i="8"/>
  <c r="K621" i="8" s="1"/>
  <c r="J621" i="8"/>
  <c r="L630" i="8"/>
  <c r="O630" i="8" s="1"/>
  <c r="M630" i="8"/>
  <c r="M629" i="8" s="1"/>
  <c r="P629" i="8" s="1"/>
  <c r="N630" i="8"/>
  <c r="P630" i="8"/>
  <c r="M631" i="8"/>
  <c r="P631" i="8"/>
  <c r="M632" i="8"/>
  <c r="P632" i="8" s="1"/>
  <c r="O633" i="8"/>
  <c r="P633" i="8"/>
  <c r="L634" i="8"/>
  <c r="N634" i="8"/>
  <c r="N632" i="8" s="1"/>
  <c r="P634" i="8"/>
  <c r="M639" i="8"/>
  <c r="P639" i="8" s="1"/>
  <c r="N639" i="8"/>
  <c r="O640" i="8"/>
  <c r="P640" i="8"/>
  <c r="L641" i="8"/>
  <c r="L639" i="8" s="1"/>
  <c r="O639" i="8" s="1"/>
  <c r="P641" i="8"/>
  <c r="I643" i="8"/>
  <c r="K643" i="8" s="1"/>
  <c r="I644" i="8"/>
  <c r="K644" i="8" s="1"/>
  <c r="J645" i="8"/>
  <c r="K645" i="8"/>
  <c r="J646" i="8"/>
  <c r="K646" i="8"/>
  <c r="I647" i="8"/>
  <c r="K647" i="8" s="1"/>
  <c r="J647" i="8"/>
  <c r="J648" i="8"/>
  <c r="K648" i="8"/>
  <c r="I649" i="8"/>
  <c r="K649" i="8" s="1"/>
  <c r="J649" i="8"/>
  <c r="J650" i="8"/>
  <c r="K650" i="8"/>
  <c r="I651" i="8"/>
  <c r="I628" i="8" s="1"/>
  <c r="K628" i="8" s="1"/>
  <c r="J651" i="8"/>
  <c r="J628" i="8" s="1"/>
  <c r="J652" i="8"/>
  <c r="K652" i="8"/>
  <c r="L656" i="8"/>
  <c r="M656" i="8"/>
  <c r="P656" i="8" s="1"/>
  <c r="N656" i="8"/>
  <c r="O656" i="8"/>
  <c r="O659" i="8"/>
  <c r="P659" i="8"/>
  <c r="L660" i="8"/>
  <c r="L658" i="8" s="1"/>
  <c r="N660" i="8"/>
  <c r="L665" i="8"/>
  <c r="O665" i="8" s="1"/>
  <c r="M665" i="8"/>
  <c r="N665" i="8"/>
  <c r="P665" i="8"/>
  <c r="O666" i="8"/>
  <c r="P666" i="8"/>
  <c r="O667" i="8"/>
  <c r="P667" i="8"/>
  <c r="I669" i="8"/>
  <c r="I670" i="8"/>
  <c r="K670" i="8" s="1"/>
  <c r="I671" i="8"/>
  <c r="K671" i="8" s="1"/>
  <c r="J675" i="8"/>
  <c r="J669" i="8" s="1"/>
  <c r="J654" i="8" s="1"/>
  <c r="I678" i="8"/>
  <c r="K678" i="8" s="1"/>
  <c r="J678" i="8"/>
  <c r="J679" i="8"/>
  <c r="L686" i="8"/>
  <c r="O686" i="8" s="1"/>
  <c r="M686" i="8"/>
  <c r="N686" i="8"/>
  <c r="P686" i="8"/>
  <c r="L690" i="8"/>
  <c r="N690" i="8"/>
  <c r="N688" i="8" s="1"/>
  <c r="L695" i="8"/>
  <c r="M695" i="8"/>
  <c r="P695" i="8" s="1"/>
  <c r="N695" i="8"/>
  <c r="O695" i="8"/>
  <c r="O696" i="8"/>
  <c r="P696" i="8"/>
  <c r="O697" i="8"/>
  <c r="P697" i="8"/>
  <c r="I699" i="8"/>
  <c r="K699" i="8" s="1"/>
  <c r="J699" i="8"/>
  <c r="I700" i="8"/>
  <c r="K700" i="8" s="1"/>
  <c r="J700" i="8"/>
  <c r="I701" i="8"/>
  <c r="J701" i="8"/>
  <c r="I704" i="8"/>
  <c r="I707" i="8"/>
  <c r="I708" i="8"/>
  <c r="J708" i="8"/>
  <c r="J718" i="8"/>
  <c r="J719" i="8"/>
  <c r="I720" i="8"/>
  <c r="J720" i="8"/>
  <c r="I721" i="8"/>
  <c r="I722" i="8"/>
  <c r="I723" i="8"/>
  <c r="J723" i="8"/>
  <c r="J724" i="8"/>
  <c r="I725" i="8"/>
  <c r="J725" i="8"/>
  <c r="I726" i="8"/>
  <c r="J726" i="8"/>
  <c r="J727" i="8"/>
  <c r="I728" i="8"/>
  <c r="J728" i="8"/>
  <c r="I729" i="8"/>
  <c r="J729" i="8"/>
  <c r="J736" i="8"/>
  <c r="K736" i="8"/>
  <c r="L738" i="8"/>
  <c r="O738" i="8" s="1"/>
  <c r="M738" i="8"/>
  <c r="N738" i="8"/>
  <c r="L739" i="8"/>
  <c r="M739" i="8"/>
  <c r="P739" i="8"/>
  <c r="L740" i="8"/>
  <c r="M740" i="8"/>
  <c r="P740" i="8" s="1"/>
  <c r="O740" i="8"/>
  <c r="O741" i="8"/>
  <c r="P741" i="8"/>
  <c r="N742" i="8"/>
  <c r="N740" i="8" s="1"/>
  <c r="O742" i="8"/>
  <c r="P742" i="8"/>
  <c r="L747" i="8"/>
  <c r="M747" i="8"/>
  <c r="P747" i="8" s="1"/>
  <c r="N747" i="8"/>
  <c r="O747" i="8"/>
  <c r="O748" i="8"/>
  <c r="P748" i="8"/>
  <c r="O749" i="8"/>
  <c r="P749" i="8"/>
  <c r="J753" i="8"/>
  <c r="K753" i="8"/>
  <c r="L755" i="8"/>
  <c r="M755" i="8"/>
  <c r="M754" i="8" s="1"/>
  <c r="P754" i="8" s="1"/>
  <c r="N755" i="8"/>
  <c r="O755" i="8"/>
  <c r="L756" i="8"/>
  <c r="O756" i="8" s="1"/>
  <c r="M756" i="8"/>
  <c r="P756" i="8"/>
  <c r="L757" i="8"/>
  <c r="M757" i="8"/>
  <c r="P757" i="8" s="1"/>
  <c r="O757" i="8"/>
  <c r="O758" i="8"/>
  <c r="P758" i="8"/>
  <c r="N759" i="8"/>
  <c r="N757" i="8" s="1"/>
  <c r="O759" i="8"/>
  <c r="P759" i="8"/>
  <c r="L764" i="8"/>
  <c r="M764" i="8"/>
  <c r="P764" i="8" s="1"/>
  <c r="N764" i="8"/>
  <c r="O764" i="8"/>
  <c r="O765" i="8"/>
  <c r="P765" i="8"/>
  <c r="O766" i="8"/>
  <c r="P766" i="8"/>
  <c r="J769" i="8"/>
  <c r="K769" i="8"/>
  <c r="L771" i="8"/>
  <c r="M771" i="8"/>
  <c r="M770" i="8" s="1"/>
  <c r="P770" i="8" s="1"/>
  <c r="N771" i="8"/>
  <c r="O771" i="8"/>
  <c r="L772" i="8"/>
  <c r="O772" i="8" s="1"/>
  <c r="M772" i="8"/>
  <c r="P772" i="8"/>
  <c r="L773" i="8"/>
  <c r="O773" i="8" s="1"/>
  <c r="M773" i="8"/>
  <c r="P773" i="8" s="1"/>
  <c r="O774" i="8"/>
  <c r="P774" i="8"/>
  <c r="N775" i="8"/>
  <c r="N773" i="8" s="1"/>
  <c r="O775" i="8"/>
  <c r="P775" i="8"/>
  <c r="L780" i="8"/>
  <c r="M780" i="8"/>
  <c r="P780" i="8" s="1"/>
  <c r="N780" i="8"/>
  <c r="O780" i="8"/>
  <c r="O781" i="8"/>
  <c r="P781" i="8"/>
  <c r="O782" i="8"/>
  <c r="P782" i="8"/>
  <c r="L787" i="8"/>
  <c r="O787" i="8" s="1"/>
  <c r="M787" i="8"/>
  <c r="M786" i="8" s="1"/>
  <c r="P786" i="8" s="1"/>
  <c r="N787" i="8"/>
  <c r="P787" i="8"/>
  <c r="M788" i="8"/>
  <c r="P788" i="8"/>
  <c r="M789" i="8"/>
  <c r="P789" i="8" s="1"/>
  <c r="O790" i="8"/>
  <c r="P790" i="8"/>
  <c r="L791" i="8"/>
  <c r="L788" i="8" s="1"/>
  <c r="O788" i="8" s="1"/>
  <c r="N791" i="8"/>
  <c r="N789" i="8" s="1"/>
  <c r="P791" i="8"/>
  <c r="L796" i="8"/>
  <c r="M796" i="8"/>
  <c r="P796" i="8" s="1"/>
  <c r="N796" i="8"/>
  <c r="O796" i="8"/>
  <c r="O797" i="8"/>
  <c r="P797" i="8"/>
  <c r="O798" i="8"/>
  <c r="P798" i="8"/>
  <c r="I800" i="8"/>
  <c r="I785" i="8" s="1"/>
  <c r="K785" i="8" s="1"/>
  <c r="J800" i="8"/>
  <c r="J785" i="8" s="1"/>
  <c r="J801" i="8"/>
  <c r="K802" i="8"/>
  <c r="J804" i="8"/>
  <c r="K804" i="8"/>
  <c r="L806" i="8"/>
  <c r="L805" i="8" s="1"/>
  <c r="O805" i="8" s="1"/>
  <c r="M806" i="8"/>
  <c r="N806" i="8"/>
  <c r="P806" i="8"/>
  <c r="L807" i="8"/>
  <c r="M807" i="8"/>
  <c r="P807" i="8" s="1"/>
  <c r="O807" i="8"/>
  <c r="L808" i="8"/>
  <c r="O808" i="8" s="1"/>
  <c r="M808" i="8"/>
  <c r="P808" i="8"/>
  <c r="O809" i="8"/>
  <c r="P809" i="8"/>
  <c r="N810" i="8"/>
  <c r="N808" i="8" s="1"/>
  <c r="O810" i="8"/>
  <c r="P810" i="8"/>
  <c r="L815" i="8"/>
  <c r="O815" i="8" s="1"/>
  <c r="M815" i="8"/>
  <c r="N815" i="8"/>
  <c r="P815" i="8"/>
  <c r="O816" i="8"/>
  <c r="P816" i="8"/>
  <c r="O817" i="8"/>
  <c r="P817" i="8"/>
  <c r="H820" i="8"/>
  <c r="I821" i="8"/>
  <c r="J821" i="8"/>
  <c r="I822" i="8"/>
  <c r="J822" i="8"/>
  <c r="I823" i="8"/>
  <c r="J823" i="8"/>
  <c r="I824" i="8"/>
  <c r="J824" i="8"/>
  <c r="I825" i="8"/>
  <c r="J825" i="8"/>
  <c r="I826" i="8"/>
  <c r="J826" i="8"/>
  <c r="I827" i="8"/>
  <c r="J827" i="8"/>
  <c r="I828" i="8"/>
  <c r="J828" i="8"/>
  <c r="L22" i="7"/>
  <c r="M22" i="7"/>
  <c r="N22" i="7"/>
  <c r="P22" i="7"/>
  <c r="L25" i="7"/>
  <c r="M25" i="7"/>
  <c r="M15" i="7" s="1"/>
  <c r="N25" i="7"/>
  <c r="O25" i="7"/>
  <c r="L32" i="7"/>
  <c r="M32" i="7"/>
  <c r="M29" i="7" s="1"/>
  <c r="N32" i="7"/>
  <c r="O32" i="7"/>
  <c r="L35" i="7"/>
  <c r="M35" i="7"/>
  <c r="N35" i="7"/>
  <c r="N15" i="7" s="1"/>
  <c r="P35" i="7"/>
  <c r="M36" i="7"/>
  <c r="N36" i="7"/>
  <c r="L42" i="7"/>
  <c r="M42" i="7"/>
  <c r="N42" i="7"/>
  <c r="P42" i="7"/>
  <c r="O45" i="7"/>
  <c r="P45" i="7"/>
  <c r="L46" i="7"/>
  <c r="L44" i="7" s="1"/>
  <c r="M46" i="7"/>
  <c r="M44" i="7" s="1"/>
  <c r="N46" i="7"/>
  <c r="O48" i="7"/>
  <c r="P48" i="7"/>
  <c r="L49" i="7"/>
  <c r="L47" i="7" s="1"/>
  <c r="O47" i="7" s="1"/>
  <c r="M49" i="7"/>
  <c r="M47" i="7" s="1"/>
  <c r="P47" i="7" s="1"/>
  <c r="N49" i="7"/>
  <c r="N47" i="7" s="1"/>
  <c r="L54" i="7"/>
  <c r="O54" i="7" s="1"/>
  <c r="M54" i="7"/>
  <c r="N54" i="7"/>
  <c r="O57" i="7"/>
  <c r="P57" i="7"/>
  <c r="L58" i="7"/>
  <c r="M58" i="7"/>
  <c r="M56" i="7" s="1"/>
  <c r="N58" i="7"/>
  <c r="O60" i="7"/>
  <c r="P60" i="7"/>
  <c r="L61" i="7"/>
  <c r="L59" i="7" s="1"/>
  <c r="M61" i="7"/>
  <c r="M59" i="7" s="1"/>
  <c r="N61" i="7"/>
  <c r="N59" i="7" s="1"/>
  <c r="J64" i="7"/>
  <c r="L67" i="7"/>
  <c r="M67" i="7"/>
  <c r="N67" i="7"/>
  <c r="P67" i="7"/>
  <c r="O70" i="7"/>
  <c r="P70" i="7"/>
  <c r="L71" i="7"/>
  <c r="L69" i="7" s="1"/>
  <c r="O69" i="7" s="1"/>
  <c r="M71" i="7"/>
  <c r="N71" i="7"/>
  <c r="N69" i="7" s="1"/>
  <c r="O73" i="7"/>
  <c r="P73" i="7"/>
  <c r="L74" i="7"/>
  <c r="L72" i="7" s="1"/>
  <c r="O72" i="7" s="1"/>
  <c r="M74" i="7"/>
  <c r="N74" i="7"/>
  <c r="N72" i="7" s="1"/>
  <c r="J76" i="7"/>
  <c r="J77" i="7"/>
  <c r="J65" i="7" s="1"/>
  <c r="I78" i="7"/>
  <c r="K78" i="7" s="1"/>
  <c r="I79" i="7"/>
  <c r="K79" i="7" s="1"/>
  <c r="I80" i="7"/>
  <c r="I81" i="7"/>
  <c r="K81" i="7" s="1"/>
  <c r="I82" i="7"/>
  <c r="K82" i="7" s="1"/>
  <c r="I83" i="7"/>
  <c r="K83" i="7" s="1"/>
  <c r="I84" i="7"/>
  <c r="K84" i="7" s="1"/>
  <c r="L89" i="7"/>
  <c r="M89" i="7"/>
  <c r="P89" i="7" s="1"/>
  <c r="N89" i="7"/>
  <c r="O89" i="7"/>
  <c r="O92" i="7"/>
  <c r="P92" i="7"/>
  <c r="L93" i="7"/>
  <c r="L91" i="7" s="1"/>
  <c r="M93" i="7"/>
  <c r="M91" i="7" s="1"/>
  <c r="N93" i="7"/>
  <c r="N91" i="7" s="1"/>
  <c r="O95" i="7"/>
  <c r="P95" i="7"/>
  <c r="L96" i="7"/>
  <c r="M96" i="7"/>
  <c r="M94" i="7" s="1"/>
  <c r="P94" i="7" s="1"/>
  <c r="N96" i="7"/>
  <c r="N94" i="7" s="1"/>
  <c r="I98" i="7"/>
  <c r="I86" i="7" s="1"/>
  <c r="J98" i="7"/>
  <c r="I99" i="7"/>
  <c r="I87" i="7" s="1"/>
  <c r="J99" i="7"/>
  <c r="J87" i="7" s="1"/>
  <c r="I100" i="7"/>
  <c r="J100" i="7"/>
  <c r="I102" i="7"/>
  <c r="K102" i="7" s="1"/>
  <c r="I103" i="7"/>
  <c r="K103" i="7" s="1"/>
  <c r="I104" i="7"/>
  <c r="K104" i="7" s="1"/>
  <c r="I106" i="7"/>
  <c r="K106" i="7" s="1"/>
  <c r="I107" i="7"/>
  <c r="K107" i="7" s="1"/>
  <c r="I109" i="7"/>
  <c r="K109" i="7" s="1"/>
  <c r="I110" i="7"/>
  <c r="K110" i="7" s="1"/>
  <c r="I111" i="7"/>
  <c r="J111" i="7"/>
  <c r="J112" i="7"/>
  <c r="I113" i="7"/>
  <c r="K113" i="7" s="1"/>
  <c r="I114" i="7"/>
  <c r="K114" i="7" s="1"/>
  <c r="I115" i="7"/>
  <c r="I116" i="7"/>
  <c r="K116" i="7" s="1"/>
  <c r="L120" i="7"/>
  <c r="M120" i="7"/>
  <c r="N120" i="7"/>
  <c r="O120" i="7"/>
  <c r="O123" i="7"/>
  <c r="P123" i="7"/>
  <c r="L124" i="7"/>
  <c r="L122" i="7" s="1"/>
  <c r="O122" i="7" s="1"/>
  <c r="M124" i="7"/>
  <c r="M122" i="7" s="1"/>
  <c r="P122" i="7" s="1"/>
  <c r="N124" i="7"/>
  <c r="N122" i="7" s="1"/>
  <c r="O126" i="7"/>
  <c r="P126" i="7"/>
  <c r="L127" i="7"/>
  <c r="L125" i="7" s="1"/>
  <c r="O125" i="7" s="1"/>
  <c r="M127" i="7"/>
  <c r="M125" i="7" s="1"/>
  <c r="P125" i="7" s="1"/>
  <c r="N127" i="7"/>
  <c r="N125" i="7" s="1"/>
  <c r="J130" i="7"/>
  <c r="L133" i="7"/>
  <c r="O133" i="7" s="1"/>
  <c r="M133" i="7"/>
  <c r="N133" i="7"/>
  <c r="P133" i="7"/>
  <c r="O136" i="7"/>
  <c r="P136" i="7"/>
  <c r="L137" i="7"/>
  <c r="O137" i="7" s="1"/>
  <c r="M137" i="7"/>
  <c r="P137" i="7" s="1"/>
  <c r="N137" i="7"/>
  <c r="O139" i="7"/>
  <c r="P139" i="7"/>
  <c r="L140" i="7"/>
  <c r="L138" i="7" s="1"/>
  <c r="O138" i="7" s="1"/>
  <c r="M140" i="7"/>
  <c r="P140" i="7" s="1"/>
  <c r="N140" i="7"/>
  <c r="N138" i="7" s="1"/>
  <c r="I144" i="7"/>
  <c r="I145" i="7"/>
  <c r="I143" i="7" s="1"/>
  <c r="I146" i="7"/>
  <c r="K146" i="7" s="1"/>
  <c r="J148" i="7"/>
  <c r="L150" i="7"/>
  <c r="O150" i="7" s="1"/>
  <c r="M150" i="7"/>
  <c r="N150" i="7"/>
  <c r="O153" i="7"/>
  <c r="P153" i="7"/>
  <c r="L154" i="7"/>
  <c r="L152" i="7" s="1"/>
  <c r="O152" i="7" s="1"/>
  <c r="M154" i="7"/>
  <c r="N154" i="7"/>
  <c r="O156" i="7"/>
  <c r="P156" i="7"/>
  <c r="L157" i="7"/>
  <c r="O157" i="7" s="1"/>
  <c r="M157" i="7"/>
  <c r="P157" i="7" s="1"/>
  <c r="N157" i="7"/>
  <c r="N155" i="7" s="1"/>
  <c r="I159" i="7"/>
  <c r="K159" i="7" s="1"/>
  <c r="L166" i="7"/>
  <c r="M166" i="7"/>
  <c r="N166" i="7"/>
  <c r="O166" i="7"/>
  <c r="O169" i="7"/>
  <c r="P169" i="7"/>
  <c r="L170" i="7"/>
  <c r="L168" i="7" s="1"/>
  <c r="M170" i="7"/>
  <c r="M168" i="7" s="1"/>
  <c r="N170" i="7"/>
  <c r="N168" i="7" s="1"/>
  <c r="O172" i="7"/>
  <c r="P172" i="7"/>
  <c r="L173" i="7"/>
  <c r="L171" i="7" s="1"/>
  <c r="O171" i="7" s="1"/>
  <c r="M173" i="7"/>
  <c r="P173" i="7" s="1"/>
  <c r="N173" i="7"/>
  <c r="N171" i="7" s="1"/>
  <c r="J174" i="7"/>
  <c r="I176" i="7"/>
  <c r="I174" i="7" s="1"/>
  <c r="I164" i="7" s="1"/>
  <c r="J177" i="7"/>
  <c r="L182" i="7"/>
  <c r="O182" i="7" s="1"/>
  <c r="M182" i="7"/>
  <c r="N182" i="7"/>
  <c r="O185" i="7"/>
  <c r="P185" i="7"/>
  <c r="L186" i="7"/>
  <c r="L184" i="7" s="1"/>
  <c r="M186" i="7"/>
  <c r="M184" i="7" s="1"/>
  <c r="N186" i="7"/>
  <c r="O188" i="7"/>
  <c r="P188" i="7"/>
  <c r="L189" i="7"/>
  <c r="L187" i="7" s="1"/>
  <c r="O187" i="7" s="1"/>
  <c r="M189" i="7"/>
  <c r="P189" i="7" s="1"/>
  <c r="N189" i="7"/>
  <c r="N187" i="7" s="1"/>
  <c r="J190" i="7"/>
  <c r="L191" i="7"/>
  <c r="O191" i="7" s="1"/>
  <c r="P191" i="7"/>
  <c r="I193" i="7"/>
  <c r="I190" i="7" s="1"/>
  <c r="J194" i="7"/>
  <c r="J197" i="7"/>
  <c r="N198" i="7"/>
  <c r="P198" i="7"/>
  <c r="L199" i="7"/>
  <c r="L200" i="7"/>
  <c r="L201" i="7"/>
  <c r="L202" i="7"/>
  <c r="I204" i="7"/>
  <c r="I197" i="7" s="1"/>
  <c r="K197" i="7" s="1"/>
  <c r="K206" i="7"/>
  <c r="K207" i="7"/>
  <c r="J208" i="7"/>
  <c r="N209" i="7"/>
  <c r="P209" i="7"/>
  <c r="L210" i="7"/>
  <c r="L211" i="7"/>
  <c r="L212" i="7"/>
  <c r="I214" i="7"/>
  <c r="K214" i="7" s="1"/>
  <c r="I215" i="7"/>
  <c r="I208" i="7" s="1"/>
  <c r="J216" i="7"/>
  <c r="N217" i="7"/>
  <c r="P217" i="7"/>
  <c r="L218" i="7"/>
  <c r="L219" i="7"/>
  <c r="L220" i="7"/>
  <c r="I223" i="7"/>
  <c r="K223" i="7" s="1"/>
  <c r="I224" i="7"/>
  <c r="I225" i="7"/>
  <c r="K225" i="7" s="1"/>
  <c r="J226" i="7"/>
  <c r="J180" i="7" s="1"/>
  <c r="N228" i="7"/>
  <c r="N229" i="7"/>
  <c r="N230" i="7"/>
  <c r="N231" i="7"/>
  <c r="J233" i="7"/>
  <c r="I235" i="7"/>
  <c r="K235" i="7" s="1"/>
  <c r="J235" i="7"/>
  <c r="I236" i="7"/>
  <c r="K236" i="7" s="1"/>
  <c r="J236" i="7"/>
  <c r="J237" i="7"/>
  <c r="N238" i="7"/>
  <c r="N227" i="7" s="1"/>
  <c r="P238" i="7"/>
  <c r="L239" i="7"/>
  <c r="L240" i="7"/>
  <c r="L241" i="7"/>
  <c r="L242" i="7"/>
  <c r="I244" i="7"/>
  <c r="I237" i="7" s="1"/>
  <c r="K246" i="7"/>
  <c r="K247" i="7"/>
  <c r="J248" i="7"/>
  <c r="N249" i="7"/>
  <c r="P249" i="7"/>
  <c r="L250" i="7"/>
  <c r="L251" i="7"/>
  <c r="L252" i="7"/>
  <c r="L253" i="7"/>
  <c r="I255" i="7"/>
  <c r="I248" i="7" s="1"/>
  <c r="K248" i="7" s="1"/>
  <c r="K257" i="7"/>
  <c r="K258" i="7"/>
  <c r="J260" i="7"/>
  <c r="L262" i="7"/>
  <c r="O262" i="7" s="1"/>
  <c r="M262" i="7"/>
  <c r="N262" i="7"/>
  <c r="P262" i="7"/>
  <c r="O265" i="7"/>
  <c r="P265" i="7"/>
  <c r="L266" i="7"/>
  <c r="L264" i="7" s="1"/>
  <c r="M266" i="7"/>
  <c r="M264" i="7" s="1"/>
  <c r="N266" i="7"/>
  <c r="O268" i="7"/>
  <c r="P268" i="7"/>
  <c r="L269" i="7"/>
  <c r="L267" i="7" s="1"/>
  <c r="O267" i="7" s="1"/>
  <c r="M269" i="7"/>
  <c r="M267" i="7" s="1"/>
  <c r="P267" i="7" s="1"/>
  <c r="N269" i="7"/>
  <c r="N267" i="7" s="1"/>
  <c r="I271" i="7"/>
  <c r="J276" i="7"/>
  <c r="L278" i="7"/>
  <c r="O278" i="7" s="1"/>
  <c r="M278" i="7"/>
  <c r="N278" i="7"/>
  <c r="P278" i="7"/>
  <c r="O281" i="7"/>
  <c r="P281" i="7"/>
  <c r="L282" i="7"/>
  <c r="O282" i="7" s="1"/>
  <c r="M282" i="7"/>
  <c r="M280" i="7" s="1"/>
  <c r="P280" i="7" s="1"/>
  <c r="N282" i="7"/>
  <c r="O284" i="7"/>
  <c r="P284" i="7"/>
  <c r="L285" i="7"/>
  <c r="O285" i="7" s="1"/>
  <c r="M285" i="7"/>
  <c r="P285" i="7" s="1"/>
  <c r="N285" i="7"/>
  <c r="N283" i="7" s="1"/>
  <c r="I287" i="7"/>
  <c r="K287" i="7" s="1"/>
  <c r="I288" i="7"/>
  <c r="J288" i="7" s="1"/>
  <c r="J275" i="7" s="1"/>
  <c r="I290" i="7"/>
  <c r="K290" i="7" s="1"/>
  <c r="I291" i="7"/>
  <c r="K291" i="7" s="1"/>
  <c r="I293" i="7"/>
  <c r="K293" i="7" s="1"/>
  <c r="I294" i="7"/>
  <c r="K294" i="7" s="1"/>
  <c r="J297" i="7"/>
  <c r="L299" i="7"/>
  <c r="O299" i="7" s="1"/>
  <c r="M299" i="7"/>
  <c r="N299" i="7"/>
  <c r="P299" i="7"/>
  <c r="O302" i="7"/>
  <c r="P302" i="7"/>
  <c r="L303" i="7"/>
  <c r="L301" i="7" s="1"/>
  <c r="O301" i="7" s="1"/>
  <c r="M303" i="7"/>
  <c r="N303" i="7"/>
  <c r="N301" i="7" s="1"/>
  <c r="O305" i="7"/>
  <c r="P305" i="7"/>
  <c r="L306" i="7"/>
  <c r="L304" i="7" s="1"/>
  <c r="O304" i="7" s="1"/>
  <c r="M306" i="7"/>
  <c r="P306" i="7" s="1"/>
  <c r="N306" i="7"/>
  <c r="N304" i="7" s="1"/>
  <c r="I309" i="7"/>
  <c r="K309" i="7" s="1"/>
  <c r="I310" i="7"/>
  <c r="K310" i="7" s="1"/>
  <c r="I311" i="7"/>
  <c r="K311" i="7" s="1"/>
  <c r="I312" i="7"/>
  <c r="K312" i="7" s="1"/>
  <c r="J314" i="7"/>
  <c r="L316" i="7"/>
  <c r="M316" i="7"/>
  <c r="N316" i="7"/>
  <c r="O319" i="7"/>
  <c r="P319" i="7"/>
  <c r="L320" i="7"/>
  <c r="L318" i="7" s="1"/>
  <c r="O318" i="7" s="1"/>
  <c r="M320" i="7"/>
  <c r="M318" i="7" s="1"/>
  <c r="P318" i="7" s="1"/>
  <c r="N320" i="7"/>
  <c r="N318" i="7" s="1"/>
  <c r="O322" i="7"/>
  <c r="P322" i="7"/>
  <c r="L323" i="7"/>
  <c r="L321" i="7" s="1"/>
  <c r="O321" i="7" s="1"/>
  <c r="M323" i="7"/>
  <c r="M321" i="7" s="1"/>
  <c r="P321" i="7" s="1"/>
  <c r="N323" i="7"/>
  <c r="I325" i="7"/>
  <c r="K325" i="7" s="1"/>
  <c r="I327" i="7"/>
  <c r="L329" i="7"/>
  <c r="O329" i="7" s="1"/>
  <c r="M329" i="7"/>
  <c r="N329" i="7"/>
  <c r="P329" i="7"/>
  <c r="O332" i="7"/>
  <c r="P332" i="7"/>
  <c r="L333" i="7"/>
  <c r="M333" i="7"/>
  <c r="N333" i="7"/>
  <c r="N331" i="7" s="1"/>
  <c r="O335" i="7"/>
  <c r="P335" i="7"/>
  <c r="L336" i="7"/>
  <c r="L334" i="7" s="1"/>
  <c r="O334" i="7" s="1"/>
  <c r="M336" i="7"/>
  <c r="N336" i="7"/>
  <c r="N334" i="7" s="1"/>
  <c r="D337" i="7"/>
  <c r="I338" i="7"/>
  <c r="J338" i="7"/>
  <c r="I340" i="7"/>
  <c r="J340" i="7"/>
  <c r="J341" i="7"/>
  <c r="J342" i="7"/>
  <c r="J343" i="7"/>
  <c r="L346" i="7"/>
  <c r="O346" i="7" s="1"/>
  <c r="M346" i="7"/>
  <c r="N346" i="7"/>
  <c r="O349" i="7"/>
  <c r="P349" i="7"/>
  <c r="L350" i="7"/>
  <c r="M350" i="7"/>
  <c r="M348" i="7" s="1"/>
  <c r="N350" i="7"/>
  <c r="N348" i="7" s="1"/>
  <c r="O352" i="7"/>
  <c r="P352" i="7"/>
  <c r="L353" i="7"/>
  <c r="M353" i="7"/>
  <c r="N353" i="7"/>
  <c r="N351" i="7" s="1"/>
  <c r="I355" i="7"/>
  <c r="J358" i="7"/>
  <c r="K358" i="7"/>
  <c r="I359" i="7"/>
  <c r="J359" i="7"/>
  <c r="I360" i="7"/>
  <c r="J360" i="7"/>
  <c r="J361" i="7"/>
  <c r="K361" i="7"/>
  <c r="I362" i="7"/>
  <c r="J362" i="7"/>
  <c r="J355" i="7" s="1"/>
  <c r="J363" i="7"/>
  <c r="K363" i="7"/>
  <c r="I365" i="7"/>
  <c r="J368" i="7"/>
  <c r="K368" i="7"/>
  <c r="I369" i="7"/>
  <c r="J369" i="7"/>
  <c r="I370" i="7"/>
  <c r="J370" i="7"/>
  <c r="J371" i="7"/>
  <c r="K371" i="7"/>
  <c r="I372" i="7"/>
  <c r="J372" i="7"/>
  <c r="J365" i="7" s="1"/>
  <c r="A373" i="7"/>
  <c r="J373" i="7"/>
  <c r="K373" i="7"/>
  <c r="I374" i="7"/>
  <c r="J377" i="7"/>
  <c r="K377" i="7"/>
  <c r="I378" i="7"/>
  <c r="J378" i="7"/>
  <c r="I379" i="7"/>
  <c r="J379" i="7"/>
  <c r="J380" i="7"/>
  <c r="K380" i="7"/>
  <c r="I381" i="7"/>
  <c r="J381" i="7"/>
  <c r="J374" i="7" s="1"/>
  <c r="A382" i="7"/>
  <c r="J382" i="7"/>
  <c r="K382" i="7"/>
  <c r="D384" i="7"/>
  <c r="I385" i="7"/>
  <c r="J385" i="7"/>
  <c r="I388" i="7"/>
  <c r="J388" i="7"/>
  <c r="K388" i="7"/>
  <c r="L390" i="7"/>
  <c r="M390" i="7"/>
  <c r="P390" i="7" s="1"/>
  <c r="N390" i="7"/>
  <c r="O390" i="7"/>
  <c r="O393" i="7"/>
  <c r="P393" i="7"/>
  <c r="L394" i="7"/>
  <c r="L392" i="7" s="1"/>
  <c r="O392" i="7" s="1"/>
  <c r="M394" i="7"/>
  <c r="P394" i="7" s="1"/>
  <c r="N394" i="7"/>
  <c r="O396" i="7"/>
  <c r="P396" i="7"/>
  <c r="L397" i="7"/>
  <c r="L395" i="7" s="1"/>
  <c r="O395" i="7" s="1"/>
  <c r="M397" i="7"/>
  <c r="N397" i="7"/>
  <c r="N395" i="7" s="1"/>
  <c r="K399" i="7"/>
  <c r="K400" i="7"/>
  <c r="I401" i="7"/>
  <c r="K401" i="7" s="1"/>
  <c r="J401" i="7"/>
  <c r="L403" i="7"/>
  <c r="M403" i="7"/>
  <c r="N403" i="7"/>
  <c r="P403" i="7"/>
  <c r="O406" i="7"/>
  <c r="P406" i="7"/>
  <c r="L407" i="7"/>
  <c r="L405" i="7" s="1"/>
  <c r="O405" i="7" s="1"/>
  <c r="M407" i="7"/>
  <c r="P407" i="7" s="1"/>
  <c r="N407" i="7"/>
  <c r="N405" i="7" s="1"/>
  <c r="O409" i="7"/>
  <c r="P409" i="7"/>
  <c r="L410" i="7"/>
  <c r="L408" i="7" s="1"/>
  <c r="O408" i="7" s="1"/>
  <c r="M410" i="7"/>
  <c r="P410" i="7" s="1"/>
  <c r="N410" i="7"/>
  <c r="N408" i="7" s="1"/>
  <c r="K412" i="7"/>
  <c r="K413" i="7"/>
  <c r="J418" i="7"/>
  <c r="L420" i="7"/>
  <c r="M420" i="7"/>
  <c r="P420" i="7" s="1"/>
  <c r="N420" i="7"/>
  <c r="O420" i="7"/>
  <c r="O423" i="7"/>
  <c r="P423" i="7"/>
  <c r="L424" i="7"/>
  <c r="N424" i="7"/>
  <c r="N421" i="7" s="1"/>
  <c r="N419" i="7" s="1"/>
  <c r="M429" i="7"/>
  <c r="N429" i="7"/>
  <c r="P429" i="7"/>
  <c r="O430" i="7"/>
  <c r="P430" i="7"/>
  <c r="L431" i="7"/>
  <c r="O431" i="7" s="1"/>
  <c r="P431" i="7"/>
  <c r="J434" i="7"/>
  <c r="I435" i="7"/>
  <c r="I433" i="7" s="1"/>
  <c r="I437" i="7"/>
  <c r="K437" i="7" s="1"/>
  <c r="I438" i="7"/>
  <c r="K438" i="7" s="1"/>
  <c r="I439" i="7"/>
  <c r="K439" i="7" s="1"/>
  <c r="I440" i="7"/>
  <c r="I441" i="7"/>
  <c r="K441" i="7" s="1"/>
  <c r="J442" i="7"/>
  <c r="J443" i="7"/>
  <c r="L445" i="7"/>
  <c r="M445" i="7"/>
  <c r="P445" i="7" s="1"/>
  <c r="N445" i="7"/>
  <c r="M446" i="7"/>
  <c r="M447" i="7"/>
  <c r="P447" i="7"/>
  <c r="O448" i="7"/>
  <c r="P448" i="7"/>
  <c r="L449" i="7"/>
  <c r="O449" i="7" s="1"/>
  <c r="N449" i="7"/>
  <c r="N447" i="7" s="1"/>
  <c r="P449" i="7"/>
  <c r="M454" i="7"/>
  <c r="N454" i="7"/>
  <c r="P454" i="7"/>
  <c r="O455" i="7"/>
  <c r="P455" i="7"/>
  <c r="L456" i="7"/>
  <c r="O456" i="7" s="1"/>
  <c r="P456" i="7"/>
  <c r="K458" i="7"/>
  <c r="I460" i="7"/>
  <c r="K460" i="7" s="1"/>
  <c r="I462" i="7"/>
  <c r="I443" i="7" s="1"/>
  <c r="K443" i="7" s="1"/>
  <c r="I463" i="7"/>
  <c r="I464" i="7"/>
  <c r="I465" i="7"/>
  <c r="J465" i="7"/>
  <c r="I466" i="7"/>
  <c r="K466" i="7" s="1"/>
  <c r="J466" i="7"/>
  <c r="L468" i="7"/>
  <c r="O468" i="7" s="1"/>
  <c r="M468" i="7"/>
  <c r="P468" i="7" s="1"/>
  <c r="N468" i="7"/>
  <c r="O471" i="7"/>
  <c r="P471" i="7"/>
  <c r="L472" i="7"/>
  <c r="L470" i="7" s="1"/>
  <c r="N474" i="7"/>
  <c r="N472" i="7" s="1"/>
  <c r="M477" i="7"/>
  <c r="P477" i="7" s="1"/>
  <c r="N477" i="7"/>
  <c r="O478" i="7"/>
  <c r="P478" i="7"/>
  <c r="L479" i="7"/>
  <c r="L477" i="7" s="1"/>
  <c r="O477" i="7" s="1"/>
  <c r="P479" i="7"/>
  <c r="I483" i="7"/>
  <c r="K483" i="7" s="1"/>
  <c r="I485" i="7"/>
  <c r="K485" i="7" s="1"/>
  <c r="I487" i="7"/>
  <c r="K487" i="7" s="1"/>
  <c r="I489" i="7"/>
  <c r="K489" i="7" s="1"/>
  <c r="I492" i="7"/>
  <c r="K492" i="7" s="1"/>
  <c r="I495" i="7"/>
  <c r="K495" i="7" s="1"/>
  <c r="I498" i="7"/>
  <c r="K498" i="7" s="1"/>
  <c r="J500" i="7"/>
  <c r="K500" i="7"/>
  <c r="K501" i="7"/>
  <c r="L503" i="7"/>
  <c r="M503" i="7"/>
  <c r="P503" i="7" s="1"/>
  <c r="N503" i="7"/>
  <c r="N502" i="7" s="1"/>
  <c r="O503" i="7"/>
  <c r="L504" i="7"/>
  <c r="O504" i="7" s="1"/>
  <c r="M504" i="7"/>
  <c r="P504" i="7" s="1"/>
  <c r="L505" i="7"/>
  <c r="O505" i="7" s="1"/>
  <c r="M505" i="7"/>
  <c r="P505" i="7" s="1"/>
  <c r="O506" i="7"/>
  <c r="P506" i="7"/>
  <c r="N507" i="7"/>
  <c r="N504" i="7" s="1"/>
  <c r="O507" i="7"/>
  <c r="P507" i="7"/>
  <c r="L512" i="7"/>
  <c r="O512" i="7" s="1"/>
  <c r="M512" i="7"/>
  <c r="P512" i="7" s="1"/>
  <c r="N512" i="7"/>
  <c r="O513" i="7"/>
  <c r="P513" i="7"/>
  <c r="O514" i="7"/>
  <c r="P514" i="7"/>
  <c r="K516" i="7"/>
  <c r="J517" i="7"/>
  <c r="J501" i="7" s="1"/>
  <c r="K517" i="7"/>
  <c r="L524" i="7"/>
  <c r="O524" i="7" s="1"/>
  <c r="M524" i="7"/>
  <c r="P524" i="7" s="1"/>
  <c r="N524" i="7"/>
  <c r="M525" i="7"/>
  <c r="P525" i="7" s="1"/>
  <c r="M526" i="7"/>
  <c r="P526" i="7" s="1"/>
  <c r="O527" i="7"/>
  <c r="P527" i="7"/>
  <c r="L528" i="7"/>
  <c r="L526" i="7" s="1"/>
  <c r="O526" i="7" s="1"/>
  <c r="N528" i="7"/>
  <c r="N525" i="7" s="1"/>
  <c r="P528" i="7"/>
  <c r="M533" i="7"/>
  <c r="N533" i="7"/>
  <c r="P533" i="7"/>
  <c r="O534" i="7"/>
  <c r="P534" i="7"/>
  <c r="L535" i="7"/>
  <c r="O535" i="7" s="1"/>
  <c r="P535" i="7"/>
  <c r="I537" i="7"/>
  <c r="I538" i="7"/>
  <c r="K538" i="7" s="1"/>
  <c r="I539" i="7"/>
  <c r="K539" i="7" s="1"/>
  <c r="I540" i="7"/>
  <c r="K540" i="7" s="1"/>
  <c r="I541" i="7"/>
  <c r="K541" i="7" s="1"/>
  <c r="I542" i="7"/>
  <c r="K542" i="7" s="1"/>
  <c r="L545" i="7"/>
  <c r="O545" i="7" s="1"/>
  <c r="O548" i="7"/>
  <c r="P548" i="7"/>
  <c r="L549" i="7"/>
  <c r="L547" i="7" s="1"/>
  <c r="N553" i="7"/>
  <c r="N549" i="7" s="1"/>
  <c r="M555" i="7"/>
  <c r="P555" i="7" s="1"/>
  <c r="N555" i="7"/>
  <c r="N545" i="7" s="1"/>
  <c r="O556" i="7"/>
  <c r="P556" i="7"/>
  <c r="L557" i="7"/>
  <c r="O557" i="7" s="1"/>
  <c r="P557" i="7"/>
  <c r="I560" i="7"/>
  <c r="K560" i="7" s="1"/>
  <c r="J560" i="7"/>
  <c r="I561" i="7"/>
  <c r="K561" i="7" s="1"/>
  <c r="J561" i="7"/>
  <c r="I568" i="7"/>
  <c r="K568" i="7" s="1"/>
  <c r="J568" i="7"/>
  <c r="I569" i="7"/>
  <c r="K569" i="7" s="1"/>
  <c r="J569" i="7"/>
  <c r="I576" i="7"/>
  <c r="I559" i="7" s="1"/>
  <c r="I577" i="7"/>
  <c r="K577" i="7" s="1"/>
  <c r="J582" i="7"/>
  <c r="J576" i="7" s="1"/>
  <c r="J559" i="7" s="1"/>
  <c r="J543" i="7" s="1"/>
  <c r="J583" i="7"/>
  <c r="J577" i="7" s="1"/>
  <c r="I593" i="7"/>
  <c r="I592" i="7" s="1"/>
  <c r="I594" i="7"/>
  <c r="J595" i="7"/>
  <c r="J593" i="7" s="1"/>
  <c r="J596" i="7"/>
  <c r="J594" i="7" s="1"/>
  <c r="J603" i="7"/>
  <c r="J604" i="7"/>
  <c r="J611" i="7"/>
  <c r="K611" i="7"/>
  <c r="J612" i="7"/>
  <c r="K612" i="7"/>
  <c r="J613" i="7"/>
  <c r="K613" i="7"/>
  <c r="I620" i="7"/>
  <c r="K620" i="7" s="1"/>
  <c r="J620" i="7"/>
  <c r="I621" i="7"/>
  <c r="K621" i="7" s="1"/>
  <c r="J621" i="7"/>
  <c r="L630" i="7"/>
  <c r="O630" i="7" s="1"/>
  <c r="M630" i="7"/>
  <c r="N630" i="7"/>
  <c r="N629" i="7" s="1"/>
  <c r="P630" i="7"/>
  <c r="O633" i="7"/>
  <c r="P633" i="7"/>
  <c r="L634" i="7"/>
  <c r="N638" i="7"/>
  <c r="N634" i="7" s="1"/>
  <c r="N631" i="7" s="1"/>
  <c r="M639" i="7"/>
  <c r="P639" i="7" s="1"/>
  <c r="N639" i="7"/>
  <c r="O640" i="7"/>
  <c r="P640" i="7"/>
  <c r="L641" i="7"/>
  <c r="O641" i="7" s="1"/>
  <c r="P641" i="7"/>
  <c r="I643" i="7"/>
  <c r="K643" i="7" s="1"/>
  <c r="I644" i="7"/>
  <c r="K644" i="7" s="1"/>
  <c r="J645" i="7"/>
  <c r="K645" i="7"/>
  <c r="J646" i="7"/>
  <c r="K646" i="7"/>
  <c r="I647" i="7"/>
  <c r="J647" i="7"/>
  <c r="J648" i="7"/>
  <c r="K648" i="7"/>
  <c r="I649" i="7"/>
  <c r="J649" i="7"/>
  <c r="J650" i="7"/>
  <c r="K650" i="7"/>
  <c r="I651" i="7"/>
  <c r="I628" i="7" s="1"/>
  <c r="J651" i="7"/>
  <c r="J628" i="7" s="1"/>
  <c r="A652" i="7"/>
  <c r="J652" i="7"/>
  <c r="K652" i="7"/>
  <c r="L656" i="7"/>
  <c r="O656" i="7" s="1"/>
  <c r="M656" i="7"/>
  <c r="P656" i="7" s="1"/>
  <c r="N656" i="7"/>
  <c r="M657" i="7"/>
  <c r="P657" i="7" s="1"/>
  <c r="M658" i="7"/>
  <c r="P658" i="7" s="1"/>
  <c r="O659" i="7"/>
  <c r="P659" i="7"/>
  <c r="L660" i="7"/>
  <c r="L658" i="7" s="1"/>
  <c r="O658" i="7" s="1"/>
  <c r="N660" i="7"/>
  <c r="N657" i="7" s="1"/>
  <c r="N655" i="7" s="1"/>
  <c r="P660" i="7"/>
  <c r="L665" i="7"/>
  <c r="M665" i="7"/>
  <c r="P665" i="7" s="1"/>
  <c r="N665" i="7"/>
  <c r="O665" i="7"/>
  <c r="O666" i="7"/>
  <c r="P666" i="7"/>
  <c r="O667" i="7"/>
  <c r="P667" i="7"/>
  <c r="I669" i="7"/>
  <c r="I670" i="7"/>
  <c r="K670" i="7" s="1"/>
  <c r="I671" i="7"/>
  <c r="K671" i="7" s="1"/>
  <c r="J675" i="7"/>
  <c r="J669" i="7" s="1"/>
  <c r="J654" i="7" s="1"/>
  <c r="I678" i="7"/>
  <c r="K678" i="7" s="1"/>
  <c r="J679" i="7"/>
  <c r="J678" i="7" s="1"/>
  <c r="L686" i="7"/>
  <c r="M686" i="7"/>
  <c r="M685" i="7" s="1"/>
  <c r="P685" i="7" s="1"/>
  <c r="N686" i="7"/>
  <c r="O686" i="7"/>
  <c r="M687" i="7"/>
  <c r="P687" i="7" s="1"/>
  <c r="M688" i="7"/>
  <c r="N688" i="7"/>
  <c r="P688" i="7"/>
  <c r="L690" i="7"/>
  <c r="L688" i="7" s="1"/>
  <c r="O688" i="7" s="1"/>
  <c r="N690" i="7"/>
  <c r="N687" i="7" s="1"/>
  <c r="N685" i="7" s="1"/>
  <c r="P690" i="7"/>
  <c r="L695" i="7"/>
  <c r="O695" i="7" s="1"/>
  <c r="M695" i="7"/>
  <c r="P695" i="7" s="1"/>
  <c r="N695" i="7"/>
  <c r="O696" i="7"/>
  <c r="P696" i="7"/>
  <c r="O697" i="7"/>
  <c r="P697" i="7"/>
  <c r="I699" i="7"/>
  <c r="K699" i="7" s="1"/>
  <c r="J699" i="7"/>
  <c r="I700" i="7"/>
  <c r="K700" i="7" s="1"/>
  <c r="J700" i="7"/>
  <c r="I701" i="7"/>
  <c r="K701" i="7" s="1"/>
  <c r="J701" i="7"/>
  <c r="I704" i="7"/>
  <c r="I707" i="7"/>
  <c r="I708" i="7"/>
  <c r="K708" i="7" s="1"/>
  <c r="J708" i="7"/>
  <c r="J718" i="7"/>
  <c r="J719" i="7"/>
  <c r="I720" i="7"/>
  <c r="K720" i="7" s="1"/>
  <c r="J720" i="7"/>
  <c r="I721" i="7"/>
  <c r="K721" i="7" s="1"/>
  <c r="I722" i="7"/>
  <c r="K722" i="7" s="1"/>
  <c r="I723" i="7"/>
  <c r="K723" i="7" s="1"/>
  <c r="J723" i="7"/>
  <c r="J724" i="7"/>
  <c r="I725" i="7"/>
  <c r="K725" i="7" s="1"/>
  <c r="J725" i="7"/>
  <c r="I726" i="7"/>
  <c r="K726" i="7" s="1"/>
  <c r="J726" i="7"/>
  <c r="J727" i="7"/>
  <c r="I728" i="7"/>
  <c r="K728" i="7" s="1"/>
  <c r="J728" i="7"/>
  <c r="I729" i="7"/>
  <c r="K729" i="7" s="1"/>
  <c r="J729" i="7"/>
  <c r="J736" i="7"/>
  <c r="K736" i="7"/>
  <c r="L738" i="7"/>
  <c r="O738" i="7" s="1"/>
  <c r="M738" i="7"/>
  <c r="P738" i="7" s="1"/>
  <c r="N738" i="7"/>
  <c r="L739" i="7"/>
  <c r="O739" i="7" s="1"/>
  <c r="M739" i="7"/>
  <c r="N739" i="7"/>
  <c r="N737" i="7" s="1"/>
  <c r="P739" i="7"/>
  <c r="L740" i="7"/>
  <c r="O740" i="7" s="1"/>
  <c r="M740" i="7"/>
  <c r="P740" i="7"/>
  <c r="O741" i="7"/>
  <c r="P741" i="7"/>
  <c r="N742" i="7"/>
  <c r="N740" i="7" s="1"/>
  <c r="O742" i="7"/>
  <c r="P742" i="7"/>
  <c r="L747" i="7"/>
  <c r="O747" i="7" s="1"/>
  <c r="M747" i="7"/>
  <c r="P747" i="7" s="1"/>
  <c r="N747" i="7"/>
  <c r="O748" i="7"/>
  <c r="P748" i="7"/>
  <c r="O749" i="7"/>
  <c r="P749" i="7"/>
  <c r="J753" i="7"/>
  <c r="K753" i="7"/>
  <c r="N754" i="7"/>
  <c r="L755" i="7"/>
  <c r="M755" i="7"/>
  <c r="M754" i="7" s="1"/>
  <c r="P754" i="7" s="1"/>
  <c r="N755" i="7"/>
  <c r="O755" i="7"/>
  <c r="L756" i="7"/>
  <c r="O756" i="7" s="1"/>
  <c r="M756" i="7"/>
  <c r="N756" i="7"/>
  <c r="P756" i="7"/>
  <c r="L757" i="7"/>
  <c r="M757" i="7"/>
  <c r="P757" i="7" s="1"/>
  <c r="O757" i="7"/>
  <c r="O758" i="7"/>
  <c r="P758" i="7"/>
  <c r="N759" i="7"/>
  <c r="N757" i="7" s="1"/>
  <c r="O759" i="7"/>
  <c r="P759" i="7"/>
  <c r="L764" i="7"/>
  <c r="O764" i="7" s="1"/>
  <c r="M764" i="7"/>
  <c r="P764" i="7" s="1"/>
  <c r="N764" i="7"/>
  <c r="O765" i="7"/>
  <c r="P765" i="7"/>
  <c r="O766" i="7"/>
  <c r="P766" i="7"/>
  <c r="J769" i="7"/>
  <c r="K769" i="7"/>
  <c r="L771" i="7"/>
  <c r="O771" i="7" s="1"/>
  <c r="M771" i="7"/>
  <c r="M770" i="7" s="1"/>
  <c r="P770" i="7" s="1"/>
  <c r="N771" i="7"/>
  <c r="N770" i="7" s="1"/>
  <c r="L772" i="7"/>
  <c r="M772" i="7"/>
  <c r="N772" i="7"/>
  <c r="P772" i="7"/>
  <c r="L773" i="7"/>
  <c r="M773" i="7"/>
  <c r="P773" i="7" s="1"/>
  <c r="O773" i="7"/>
  <c r="O774" i="7"/>
  <c r="P774" i="7"/>
  <c r="N775" i="7"/>
  <c r="N773" i="7" s="1"/>
  <c r="O775" i="7"/>
  <c r="P775" i="7"/>
  <c r="L780" i="7"/>
  <c r="O780" i="7" s="1"/>
  <c r="M780" i="7"/>
  <c r="P780" i="7" s="1"/>
  <c r="N780" i="7"/>
  <c r="O781" i="7"/>
  <c r="P781" i="7"/>
  <c r="O782" i="7"/>
  <c r="P782" i="7"/>
  <c r="L787" i="7"/>
  <c r="O787" i="7" s="1"/>
  <c r="M787" i="7"/>
  <c r="N787" i="7"/>
  <c r="P787" i="7"/>
  <c r="M788" i="7"/>
  <c r="N788" i="7"/>
  <c r="P788" i="7"/>
  <c r="M789" i="7"/>
  <c r="P789" i="7" s="1"/>
  <c r="O790" i="7"/>
  <c r="P790" i="7"/>
  <c r="L791" i="7"/>
  <c r="L788" i="7" s="1"/>
  <c r="O788" i="7" s="1"/>
  <c r="N791" i="7"/>
  <c r="N789" i="7" s="1"/>
  <c r="P791" i="7"/>
  <c r="L796" i="7"/>
  <c r="O796" i="7" s="1"/>
  <c r="M796" i="7"/>
  <c r="P796" i="7" s="1"/>
  <c r="N796" i="7"/>
  <c r="O797" i="7"/>
  <c r="P797" i="7"/>
  <c r="O798" i="7"/>
  <c r="P798" i="7"/>
  <c r="I800" i="7"/>
  <c r="K800" i="7" s="1"/>
  <c r="J800" i="7"/>
  <c r="J785" i="7" s="1"/>
  <c r="J801" i="7"/>
  <c r="K802" i="7"/>
  <c r="J804" i="7"/>
  <c r="K804" i="7"/>
  <c r="L806" i="7"/>
  <c r="O806" i="7" s="1"/>
  <c r="M806" i="7"/>
  <c r="N806" i="7"/>
  <c r="P806" i="7"/>
  <c r="L807" i="7"/>
  <c r="O807" i="7" s="1"/>
  <c r="M807" i="7"/>
  <c r="P807" i="7" s="1"/>
  <c r="L808" i="7"/>
  <c r="O808" i="7" s="1"/>
  <c r="M808" i="7"/>
  <c r="P808" i="7" s="1"/>
  <c r="O809" i="7"/>
  <c r="P809" i="7"/>
  <c r="N810" i="7"/>
  <c r="N808" i="7" s="1"/>
  <c r="O810" i="7"/>
  <c r="P810" i="7"/>
  <c r="L815" i="7"/>
  <c r="O815" i="7" s="1"/>
  <c r="M815" i="7"/>
  <c r="N815" i="7"/>
  <c r="P815" i="7"/>
  <c r="O816" i="7"/>
  <c r="P816" i="7"/>
  <c r="O817" i="7"/>
  <c r="P817" i="7"/>
  <c r="H820" i="7"/>
  <c r="I821" i="7"/>
  <c r="J821" i="7"/>
  <c r="I822" i="7"/>
  <c r="J822" i="7"/>
  <c r="I823" i="7"/>
  <c r="J823" i="7"/>
  <c r="I824" i="7"/>
  <c r="J824" i="7"/>
  <c r="I825" i="7"/>
  <c r="K825" i="7" s="1"/>
  <c r="J825" i="7"/>
  <c r="I826" i="7"/>
  <c r="K826" i="7" s="1"/>
  <c r="J826" i="7"/>
  <c r="I827" i="7"/>
  <c r="J827" i="7"/>
  <c r="I828" i="7"/>
  <c r="J828" i="7"/>
  <c r="L22" i="6"/>
  <c r="M22" i="6"/>
  <c r="P22" i="6" s="1"/>
  <c r="N22" i="6"/>
  <c r="L25" i="6"/>
  <c r="M25" i="6"/>
  <c r="N25" i="6"/>
  <c r="O25" i="6"/>
  <c r="L32" i="6"/>
  <c r="O32" i="6" s="1"/>
  <c r="M32" i="6"/>
  <c r="N32" i="6"/>
  <c r="L35" i="6"/>
  <c r="L29" i="6" s="1"/>
  <c r="M35" i="6"/>
  <c r="P35" i="6" s="1"/>
  <c r="N35" i="6"/>
  <c r="N15" i="6" s="1"/>
  <c r="M36" i="6"/>
  <c r="N36" i="6"/>
  <c r="L42" i="6"/>
  <c r="O42" i="6" s="1"/>
  <c r="M42" i="6"/>
  <c r="P42" i="6" s="1"/>
  <c r="N42" i="6"/>
  <c r="O45" i="6"/>
  <c r="P45" i="6"/>
  <c r="L46" i="6"/>
  <c r="M46" i="6"/>
  <c r="M44" i="6" s="1"/>
  <c r="N46" i="6"/>
  <c r="O48" i="6"/>
  <c r="P48" i="6"/>
  <c r="L49" i="6"/>
  <c r="L47" i="6" s="1"/>
  <c r="O47" i="6" s="1"/>
  <c r="M49" i="6"/>
  <c r="M47" i="6" s="1"/>
  <c r="P47" i="6" s="1"/>
  <c r="N49" i="6"/>
  <c r="N47" i="6" s="1"/>
  <c r="L54" i="6"/>
  <c r="O54" i="6" s="1"/>
  <c r="M54" i="6"/>
  <c r="N54" i="6"/>
  <c r="O57" i="6"/>
  <c r="P57" i="6"/>
  <c r="L58" i="6"/>
  <c r="M58" i="6"/>
  <c r="N58" i="6"/>
  <c r="O60" i="6"/>
  <c r="P60" i="6"/>
  <c r="L61" i="6"/>
  <c r="M61" i="6"/>
  <c r="M59" i="6" s="1"/>
  <c r="N61" i="6"/>
  <c r="L67" i="6"/>
  <c r="O67" i="6" s="1"/>
  <c r="M67" i="6"/>
  <c r="N67" i="6"/>
  <c r="P67" i="6"/>
  <c r="O70" i="6"/>
  <c r="P70" i="6"/>
  <c r="L71" i="6"/>
  <c r="M71" i="6"/>
  <c r="M69" i="6" s="1"/>
  <c r="N71" i="6"/>
  <c r="N69" i="6" s="1"/>
  <c r="O73" i="6"/>
  <c r="P73" i="6"/>
  <c r="L74" i="6"/>
  <c r="L72" i="6" s="1"/>
  <c r="O72" i="6" s="1"/>
  <c r="M74" i="6"/>
  <c r="M72" i="6" s="1"/>
  <c r="P72" i="6" s="1"/>
  <c r="N74" i="6"/>
  <c r="N72" i="6" s="1"/>
  <c r="J76" i="6"/>
  <c r="J64" i="6" s="1"/>
  <c r="J77" i="6"/>
  <c r="J65" i="6" s="1"/>
  <c r="I78" i="6"/>
  <c r="K78" i="6" s="1"/>
  <c r="I79" i="6"/>
  <c r="K79" i="6" s="1"/>
  <c r="I80" i="6"/>
  <c r="K80" i="6" s="1"/>
  <c r="I81" i="6"/>
  <c r="I82" i="6"/>
  <c r="K82" i="6" s="1"/>
  <c r="I83" i="6"/>
  <c r="K83" i="6" s="1"/>
  <c r="I84" i="6"/>
  <c r="K84" i="6" s="1"/>
  <c r="L89" i="6"/>
  <c r="M89" i="6"/>
  <c r="P89" i="6" s="1"/>
  <c r="N89" i="6"/>
  <c r="O89" i="6"/>
  <c r="O92" i="6"/>
  <c r="P92" i="6"/>
  <c r="L93" i="6"/>
  <c r="M93" i="6"/>
  <c r="M91" i="6" s="1"/>
  <c r="N93" i="6"/>
  <c r="O95" i="6"/>
  <c r="P95" i="6"/>
  <c r="L96" i="6"/>
  <c r="L94" i="6" s="1"/>
  <c r="O94" i="6" s="1"/>
  <c r="M96" i="6"/>
  <c r="P96" i="6" s="1"/>
  <c r="N96" i="6"/>
  <c r="N94" i="6" s="1"/>
  <c r="I98" i="6"/>
  <c r="I86" i="6" s="1"/>
  <c r="J98" i="6"/>
  <c r="I99" i="6"/>
  <c r="J99" i="6"/>
  <c r="J87" i="6" s="1"/>
  <c r="I100" i="6"/>
  <c r="J100" i="6"/>
  <c r="I102" i="6"/>
  <c r="K102" i="6" s="1"/>
  <c r="I103" i="6"/>
  <c r="K103" i="6" s="1"/>
  <c r="I104" i="6"/>
  <c r="K104" i="6" s="1"/>
  <c r="I106" i="6"/>
  <c r="K106" i="6" s="1"/>
  <c r="I107" i="6"/>
  <c r="K107" i="6" s="1"/>
  <c r="I109" i="6"/>
  <c r="K109" i="6" s="1"/>
  <c r="I110" i="6"/>
  <c r="K110" i="6" s="1"/>
  <c r="I111" i="6"/>
  <c r="K111" i="6" s="1"/>
  <c r="J111" i="6"/>
  <c r="J112" i="6"/>
  <c r="I113" i="6"/>
  <c r="K113" i="6" s="1"/>
  <c r="I114" i="6"/>
  <c r="K114" i="6" s="1"/>
  <c r="I115" i="6"/>
  <c r="K115" i="6" s="1"/>
  <c r="I116" i="6"/>
  <c r="K116" i="6" s="1"/>
  <c r="L120" i="6"/>
  <c r="M120" i="6"/>
  <c r="N120" i="6"/>
  <c r="O120" i="6"/>
  <c r="O123" i="6"/>
  <c r="P123" i="6"/>
  <c r="L124" i="6"/>
  <c r="M124" i="6"/>
  <c r="M122" i="6" s="1"/>
  <c r="P122" i="6" s="1"/>
  <c r="N124" i="6"/>
  <c r="N122" i="6" s="1"/>
  <c r="O126" i="6"/>
  <c r="P126" i="6"/>
  <c r="L127" i="6"/>
  <c r="O127" i="6" s="1"/>
  <c r="M127" i="6"/>
  <c r="P127" i="6" s="1"/>
  <c r="N127" i="6"/>
  <c r="N125" i="6" s="1"/>
  <c r="J130" i="6"/>
  <c r="L133" i="6"/>
  <c r="O133" i="6" s="1"/>
  <c r="M133" i="6"/>
  <c r="P133" i="6" s="1"/>
  <c r="N133" i="6"/>
  <c r="O136" i="6"/>
  <c r="P136" i="6"/>
  <c r="L137" i="6"/>
  <c r="M137" i="6"/>
  <c r="P137" i="6" s="1"/>
  <c r="N137" i="6"/>
  <c r="N135" i="6" s="1"/>
  <c r="O139" i="6"/>
  <c r="P139" i="6"/>
  <c r="L140" i="6"/>
  <c r="L138" i="6" s="1"/>
  <c r="O138" i="6" s="1"/>
  <c r="M140" i="6"/>
  <c r="P140" i="6" s="1"/>
  <c r="N140" i="6"/>
  <c r="N138" i="6" s="1"/>
  <c r="I144" i="6"/>
  <c r="I145" i="6"/>
  <c r="I143" i="6" s="1"/>
  <c r="I146" i="6"/>
  <c r="I130" i="6" s="1"/>
  <c r="K130" i="6" s="1"/>
  <c r="J148" i="6"/>
  <c r="L150" i="6"/>
  <c r="M150" i="6"/>
  <c r="N150" i="6"/>
  <c r="O150" i="6"/>
  <c r="P150" i="6"/>
  <c r="O153" i="6"/>
  <c r="P153" i="6"/>
  <c r="L154" i="6"/>
  <c r="L152" i="6" s="1"/>
  <c r="M154" i="6"/>
  <c r="N154" i="6"/>
  <c r="O156" i="6"/>
  <c r="P156" i="6"/>
  <c r="L157" i="6"/>
  <c r="L155" i="6" s="1"/>
  <c r="O155" i="6" s="1"/>
  <c r="M157" i="6"/>
  <c r="P157" i="6" s="1"/>
  <c r="N157" i="6"/>
  <c r="N155" i="6" s="1"/>
  <c r="I159" i="6"/>
  <c r="I148" i="6" s="1"/>
  <c r="K148" i="6" s="1"/>
  <c r="L166" i="6"/>
  <c r="O166" i="6" s="1"/>
  <c r="M166" i="6"/>
  <c r="N166" i="6"/>
  <c r="O169" i="6"/>
  <c r="P169" i="6"/>
  <c r="L170" i="6"/>
  <c r="L168" i="6" s="1"/>
  <c r="M170" i="6"/>
  <c r="M168" i="6" s="1"/>
  <c r="N170" i="6"/>
  <c r="O172" i="6"/>
  <c r="P172" i="6"/>
  <c r="L173" i="6"/>
  <c r="L171" i="6" s="1"/>
  <c r="O171" i="6" s="1"/>
  <c r="M173" i="6"/>
  <c r="P173" i="6" s="1"/>
  <c r="N173" i="6"/>
  <c r="N171" i="6" s="1"/>
  <c r="J174" i="6"/>
  <c r="I176" i="6"/>
  <c r="I174" i="6" s="1"/>
  <c r="I164" i="6" s="1"/>
  <c r="J177" i="6"/>
  <c r="L182" i="6"/>
  <c r="O182" i="6" s="1"/>
  <c r="M182" i="6"/>
  <c r="N182" i="6"/>
  <c r="O185" i="6"/>
  <c r="P185" i="6"/>
  <c r="L186" i="6"/>
  <c r="L184" i="6" s="1"/>
  <c r="M186" i="6"/>
  <c r="N186" i="6"/>
  <c r="O188" i="6"/>
  <c r="P188" i="6"/>
  <c r="L189" i="6"/>
  <c r="L187" i="6" s="1"/>
  <c r="O187" i="6" s="1"/>
  <c r="M189" i="6"/>
  <c r="P189" i="6" s="1"/>
  <c r="N189" i="6"/>
  <c r="N187" i="6" s="1"/>
  <c r="J190" i="6"/>
  <c r="L191" i="6"/>
  <c r="O191" i="6" s="1"/>
  <c r="P191" i="6"/>
  <c r="I193" i="6"/>
  <c r="I190" i="6" s="1"/>
  <c r="J194" i="6"/>
  <c r="J197" i="6"/>
  <c r="N198" i="6"/>
  <c r="P198" i="6"/>
  <c r="L199" i="6"/>
  <c r="L200" i="6"/>
  <c r="L201" i="6"/>
  <c r="L202" i="6"/>
  <c r="I204" i="6"/>
  <c r="K206" i="6"/>
  <c r="K207" i="6"/>
  <c r="J208" i="6"/>
  <c r="N209" i="6"/>
  <c r="P209" i="6"/>
  <c r="L210" i="6"/>
  <c r="L211" i="6"/>
  <c r="L212" i="6"/>
  <c r="I214" i="6"/>
  <c r="K214" i="6" s="1"/>
  <c r="I215" i="6"/>
  <c r="I208" i="6" s="1"/>
  <c r="K208" i="6" s="1"/>
  <c r="J216" i="6"/>
  <c r="N217" i="6"/>
  <c r="P217" i="6"/>
  <c r="L218" i="6"/>
  <c r="L219" i="6"/>
  <c r="L220" i="6"/>
  <c r="I223" i="6"/>
  <c r="K223" i="6" s="1"/>
  <c r="I224" i="6"/>
  <c r="I216" i="6" s="1"/>
  <c r="I225" i="6"/>
  <c r="K225" i="6" s="1"/>
  <c r="N228" i="6"/>
  <c r="N229" i="6"/>
  <c r="N230" i="6"/>
  <c r="N231" i="6"/>
  <c r="J233" i="6"/>
  <c r="I235" i="6"/>
  <c r="K235" i="6" s="1"/>
  <c r="J235" i="6"/>
  <c r="I236" i="6"/>
  <c r="K236" i="6" s="1"/>
  <c r="J236" i="6"/>
  <c r="J237" i="6"/>
  <c r="N238" i="6"/>
  <c r="P238" i="6"/>
  <c r="L239" i="6"/>
  <c r="L240" i="6"/>
  <c r="L241" i="6"/>
  <c r="L242" i="6"/>
  <c r="I244" i="6"/>
  <c r="I237" i="6" s="1"/>
  <c r="K246" i="6"/>
  <c r="K247" i="6"/>
  <c r="J248" i="6"/>
  <c r="N249" i="6"/>
  <c r="P249" i="6"/>
  <c r="L250" i="6"/>
  <c r="L251" i="6"/>
  <c r="L252" i="6"/>
  <c r="L253" i="6"/>
  <c r="I255" i="6"/>
  <c r="I248" i="6" s="1"/>
  <c r="K248" i="6" s="1"/>
  <c r="K257" i="6"/>
  <c r="K258" i="6"/>
  <c r="J260" i="6"/>
  <c r="L262" i="6"/>
  <c r="M262" i="6"/>
  <c r="N262" i="6"/>
  <c r="O262" i="6"/>
  <c r="P262" i="6"/>
  <c r="O265" i="6"/>
  <c r="P265" i="6"/>
  <c r="L266" i="6"/>
  <c r="L264" i="6" s="1"/>
  <c r="M266" i="6"/>
  <c r="M264" i="6" s="1"/>
  <c r="N266" i="6"/>
  <c r="O268" i="6"/>
  <c r="P268" i="6"/>
  <c r="L269" i="6"/>
  <c r="L267" i="6" s="1"/>
  <c r="O267" i="6" s="1"/>
  <c r="M269" i="6"/>
  <c r="M267" i="6" s="1"/>
  <c r="P267" i="6" s="1"/>
  <c r="N269" i="6"/>
  <c r="N267" i="6" s="1"/>
  <c r="I271" i="6"/>
  <c r="I260" i="6" s="1"/>
  <c r="J276" i="6"/>
  <c r="L278" i="6"/>
  <c r="M278" i="6"/>
  <c r="N278" i="6"/>
  <c r="P278" i="6"/>
  <c r="O281" i="6"/>
  <c r="P281" i="6"/>
  <c r="L282" i="6"/>
  <c r="O282" i="6" s="1"/>
  <c r="M282" i="6"/>
  <c r="M280" i="6" s="1"/>
  <c r="P280" i="6" s="1"/>
  <c r="N282" i="6"/>
  <c r="O284" i="6"/>
  <c r="P284" i="6"/>
  <c r="L285" i="6"/>
  <c r="O285" i="6" s="1"/>
  <c r="M285" i="6"/>
  <c r="M283" i="6" s="1"/>
  <c r="P283" i="6" s="1"/>
  <c r="N285" i="6"/>
  <c r="N283" i="6" s="1"/>
  <c r="I287" i="6"/>
  <c r="K287" i="6" s="1"/>
  <c r="I288" i="6"/>
  <c r="I290" i="6"/>
  <c r="K290" i="6" s="1"/>
  <c r="I291" i="6"/>
  <c r="K291" i="6" s="1"/>
  <c r="I293" i="6"/>
  <c r="K293" i="6" s="1"/>
  <c r="I294" i="6"/>
  <c r="K294" i="6" s="1"/>
  <c r="J297" i="6"/>
  <c r="L299" i="6"/>
  <c r="O299" i="6" s="1"/>
  <c r="M299" i="6"/>
  <c r="N299" i="6"/>
  <c r="P299" i="6"/>
  <c r="O302" i="6"/>
  <c r="P302" i="6"/>
  <c r="L303" i="6"/>
  <c r="L301" i="6" s="1"/>
  <c r="M303" i="6"/>
  <c r="M301" i="6" s="1"/>
  <c r="N303" i="6"/>
  <c r="N301" i="6" s="1"/>
  <c r="O305" i="6"/>
  <c r="P305" i="6"/>
  <c r="L306" i="6"/>
  <c r="L304" i="6" s="1"/>
  <c r="O304" i="6" s="1"/>
  <c r="M306" i="6"/>
  <c r="M304" i="6" s="1"/>
  <c r="P304" i="6" s="1"/>
  <c r="N306" i="6"/>
  <c r="N304" i="6" s="1"/>
  <c r="I309" i="6"/>
  <c r="I297" i="6" s="1"/>
  <c r="K297" i="6" s="1"/>
  <c r="I310" i="6"/>
  <c r="K310" i="6" s="1"/>
  <c r="I311" i="6"/>
  <c r="K311" i="6" s="1"/>
  <c r="I312" i="6"/>
  <c r="K312" i="6" s="1"/>
  <c r="J314" i="6"/>
  <c r="L316" i="6"/>
  <c r="M316" i="6"/>
  <c r="N316" i="6"/>
  <c r="O316" i="6"/>
  <c r="O319" i="6"/>
  <c r="P319" i="6"/>
  <c r="L320" i="6"/>
  <c r="L318" i="6" s="1"/>
  <c r="O318" i="6" s="1"/>
  <c r="M320" i="6"/>
  <c r="M318" i="6" s="1"/>
  <c r="P318" i="6" s="1"/>
  <c r="N320" i="6"/>
  <c r="O322" i="6"/>
  <c r="P322" i="6"/>
  <c r="L323" i="6"/>
  <c r="L321" i="6" s="1"/>
  <c r="O321" i="6" s="1"/>
  <c r="M323" i="6"/>
  <c r="M321" i="6" s="1"/>
  <c r="P321" i="6" s="1"/>
  <c r="N323" i="6"/>
  <c r="N321" i="6" s="1"/>
  <c r="I325" i="6"/>
  <c r="K325" i="6" s="1"/>
  <c r="I327" i="6"/>
  <c r="L329" i="6"/>
  <c r="O329" i="6" s="1"/>
  <c r="M329" i="6"/>
  <c r="N329" i="6"/>
  <c r="P329" i="6"/>
  <c r="O332" i="6"/>
  <c r="P332" i="6"/>
  <c r="L333" i="6"/>
  <c r="L331" i="6" s="1"/>
  <c r="M333" i="6"/>
  <c r="N333" i="6"/>
  <c r="N331" i="6" s="1"/>
  <c r="O335" i="6"/>
  <c r="P335" i="6"/>
  <c r="L336" i="6"/>
  <c r="M336" i="6"/>
  <c r="P336" i="6" s="1"/>
  <c r="N336" i="6"/>
  <c r="D337" i="6"/>
  <c r="I338" i="6"/>
  <c r="J338" i="6"/>
  <c r="I340" i="6"/>
  <c r="J340" i="6"/>
  <c r="J341" i="6"/>
  <c r="J342" i="6"/>
  <c r="J343" i="6"/>
  <c r="L346" i="6"/>
  <c r="M346" i="6"/>
  <c r="N346" i="6"/>
  <c r="P346" i="6"/>
  <c r="O349" i="6"/>
  <c r="P349" i="6"/>
  <c r="L350" i="6"/>
  <c r="M350" i="6"/>
  <c r="N350" i="6"/>
  <c r="N348" i="6" s="1"/>
  <c r="O352" i="6"/>
  <c r="P352" i="6"/>
  <c r="L353" i="6"/>
  <c r="M353" i="6"/>
  <c r="M351" i="6" s="1"/>
  <c r="N353" i="6"/>
  <c r="N351" i="6" s="1"/>
  <c r="I355" i="6"/>
  <c r="J358" i="6"/>
  <c r="K358" i="6"/>
  <c r="I359" i="6"/>
  <c r="J359" i="6"/>
  <c r="I360" i="6"/>
  <c r="J360" i="6"/>
  <c r="J361" i="6"/>
  <c r="K361" i="6"/>
  <c r="I362" i="6"/>
  <c r="J362" i="6"/>
  <c r="J355" i="6" s="1"/>
  <c r="J363" i="6"/>
  <c r="K363" i="6"/>
  <c r="I365" i="6"/>
  <c r="J368" i="6"/>
  <c r="K368" i="6"/>
  <c r="I369" i="6"/>
  <c r="J369" i="6"/>
  <c r="I370" i="6"/>
  <c r="J370" i="6"/>
  <c r="J371" i="6"/>
  <c r="K371" i="6"/>
  <c r="I372" i="6"/>
  <c r="J372" i="6"/>
  <c r="J365" i="6" s="1"/>
  <c r="A373" i="6"/>
  <c r="J373" i="6"/>
  <c r="K373" i="6"/>
  <c r="I374" i="6"/>
  <c r="J377" i="6"/>
  <c r="K377" i="6"/>
  <c r="I378" i="6"/>
  <c r="J378" i="6"/>
  <c r="I379" i="6"/>
  <c r="J379" i="6"/>
  <c r="J380" i="6"/>
  <c r="K380" i="6"/>
  <c r="I381" i="6"/>
  <c r="J381" i="6"/>
  <c r="A382" i="6"/>
  <c r="J382" i="6"/>
  <c r="K382" i="6"/>
  <c r="D384" i="6"/>
  <c r="I385" i="6"/>
  <c r="J385" i="6"/>
  <c r="I388" i="6"/>
  <c r="J388" i="6"/>
  <c r="K388" i="6"/>
  <c r="L390" i="6"/>
  <c r="O390" i="6" s="1"/>
  <c r="M390" i="6"/>
  <c r="N390" i="6"/>
  <c r="P390" i="6"/>
  <c r="O393" i="6"/>
  <c r="P393" i="6"/>
  <c r="L394" i="6"/>
  <c r="L392" i="6" s="1"/>
  <c r="O392" i="6" s="1"/>
  <c r="M394" i="6"/>
  <c r="N394" i="6"/>
  <c r="N392" i="6" s="1"/>
  <c r="O396" i="6"/>
  <c r="P396" i="6"/>
  <c r="L397" i="6"/>
  <c r="L395" i="6" s="1"/>
  <c r="O395" i="6" s="1"/>
  <c r="M397" i="6"/>
  <c r="M395" i="6" s="1"/>
  <c r="P395" i="6" s="1"/>
  <c r="N397" i="6"/>
  <c r="N395" i="6" s="1"/>
  <c r="K399" i="6"/>
  <c r="K400" i="6"/>
  <c r="I401" i="6"/>
  <c r="K401" i="6" s="1"/>
  <c r="J401" i="6"/>
  <c r="L403" i="6"/>
  <c r="O403" i="6" s="1"/>
  <c r="M403" i="6"/>
  <c r="N403" i="6"/>
  <c r="P403" i="6"/>
  <c r="O406" i="6"/>
  <c r="P406" i="6"/>
  <c r="L407" i="6"/>
  <c r="L405" i="6" s="1"/>
  <c r="O405" i="6" s="1"/>
  <c r="M407" i="6"/>
  <c r="N407" i="6"/>
  <c r="N405" i="6" s="1"/>
  <c r="O409" i="6"/>
  <c r="P409" i="6"/>
  <c r="L410" i="6"/>
  <c r="M410" i="6"/>
  <c r="P410" i="6" s="1"/>
  <c r="N410" i="6"/>
  <c r="N408" i="6" s="1"/>
  <c r="K412" i="6"/>
  <c r="K413" i="6"/>
  <c r="L420" i="6"/>
  <c r="M420" i="6"/>
  <c r="P420" i="6" s="1"/>
  <c r="N420" i="6"/>
  <c r="O420" i="6"/>
  <c r="O423" i="6"/>
  <c r="P423" i="6"/>
  <c r="L424" i="6"/>
  <c r="M424" i="6" s="1"/>
  <c r="N424" i="6"/>
  <c r="N428" i="6"/>
  <c r="M429" i="6"/>
  <c r="P429" i="6" s="1"/>
  <c r="N429" i="6"/>
  <c r="O430" i="6"/>
  <c r="P430" i="6"/>
  <c r="L431" i="6"/>
  <c r="P431" i="6"/>
  <c r="J434" i="6"/>
  <c r="J418" i="6" s="1"/>
  <c r="I435" i="6"/>
  <c r="I433" i="6" s="1"/>
  <c r="I437" i="6"/>
  <c r="K437" i="6" s="1"/>
  <c r="I438" i="6"/>
  <c r="I439" i="6"/>
  <c r="K439" i="6" s="1"/>
  <c r="I440" i="6"/>
  <c r="K440" i="6" s="1"/>
  <c r="I441" i="6"/>
  <c r="K441" i="6" s="1"/>
  <c r="J442" i="6"/>
  <c r="J443" i="6"/>
  <c r="L445" i="6"/>
  <c r="M445" i="6"/>
  <c r="P445" i="6" s="1"/>
  <c r="N445" i="6"/>
  <c r="M446" i="6"/>
  <c r="P446" i="6" s="1"/>
  <c r="M447" i="6"/>
  <c r="N447" i="6"/>
  <c r="P447" i="6"/>
  <c r="O448" i="6"/>
  <c r="P448" i="6"/>
  <c r="L449" i="6"/>
  <c r="O449" i="6" s="1"/>
  <c r="N449" i="6"/>
  <c r="N446" i="6" s="1"/>
  <c r="P449" i="6"/>
  <c r="M454" i="6"/>
  <c r="P454" i="6" s="1"/>
  <c r="N454" i="6"/>
  <c r="O455" i="6"/>
  <c r="P455" i="6"/>
  <c r="L456" i="6"/>
  <c r="P456" i="6"/>
  <c r="K458" i="6"/>
  <c r="I460" i="6"/>
  <c r="I462" i="6"/>
  <c r="K462" i="6" s="1"/>
  <c r="I463" i="6"/>
  <c r="I464" i="6"/>
  <c r="I465" i="6"/>
  <c r="J465" i="6"/>
  <c r="I466" i="6"/>
  <c r="J466" i="6"/>
  <c r="L468" i="6"/>
  <c r="O468" i="6" s="1"/>
  <c r="M468" i="6"/>
  <c r="N468" i="6"/>
  <c r="O471" i="6"/>
  <c r="P471" i="6"/>
  <c r="L472" i="6"/>
  <c r="N472" i="6"/>
  <c r="N470" i="6" s="1"/>
  <c r="M477" i="6"/>
  <c r="P477" i="6" s="1"/>
  <c r="N477" i="6"/>
  <c r="O478" i="6"/>
  <c r="P478" i="6"/>
  <c r="L479" i="6"/>
  <c r="P479" i="6"/>
  <c r="I483" i="6"/>
  <c r="K483" i="6" s="1"/>
  <c r="I485" i="6"/>
  <c r="K485" i="6" s="1"/>
  <c r="I487" i="6"/>
  <c r="K487" i="6" s="1"/>
  <c r="I489" i="6"/>
  <c r="K489" i="6" s="1"/>
  <c r="I492" i="6"/>
  <c r="K492" i="6" s="1"/>
  <c r="I495" i="6"/>
  <c r="K495" i="6" s="1"/>
  <c r="I498" i="6"/>
  <c r="K498" i="6" s="1"/>
  <c r="J500" i="6"/>
  <c r="K500" i="6"/>
  <c r="K501" i="6"/>
  <c r="L503" i="6"/>
  <c r="M503" i="6"/>
  <c r="M502" i="6" s="1"/>
  <c r="P502" i="6" s="1"/>
  <c r="N503" i="6"/>
  <c r="L504" i="6"/>
  <c r="O504" i="6" s="1"/>
  <c r="M504" i="6"/>
  <c r="P504" i="6" s="1"/>
  <c r="L505" i="6"/>
  <c r="O505" i="6" s="1"/>
  <c r="M505" i="6"/>
  <c r="N505" i="6"/>
  <c r="P505" i="6"/>
  <c r="O506" i="6"/>
  <c r="P506" i="6"/>
  <c r="N507" i="6"/>
  <c r="N504" i="6" s="1"/>
  <c r="O507" i="6"/>
  <c r="P507" i="6"/>
  <c r="L512" i="6"/>
  <c r="O512" i="6" s="1"/>
  <c r="M512" i="6"/>
  <c r="N512" i="6"/>
  <c r="P512" i="6"/>
  <c r="O513" i="6"/>
  <c r="P513" i="6"/>
  <c r="O514" i="6"/>
  <c r="P514" i="6"/>
  <c r="K516" i="6"/>
  <c r="J517" i="6"/>
  <c r="J501" i="6" s="1"/>
  <c r="K517" i="6"/>
  <c r="L524" i="6"/>
  <c r="M524" i="6"/>
  <c r="N524" i="6"/>
  <c r="P524" i="6"/>
  <c r="M525" i="6"/>
  <c r="P525" i="6" s="1"/>
  <c r="M526" i="6"/>
  <c r="P526" i="6"/>
  <c r="O527" i="6"/>
  <c r="P527" i="6"/>
  <c r="L528" i="6"/>
  <c r="N528" i="6"/>
  <c r="N525" i="6" s="1"/>
  <c r="P528" i="6"/>
  <c r="M533" i="6"/>
  <c r="P533" i="6" s="1"/>
  <c r="N533" i="6"/>
  <c r="O534" i="6"/>
  <c r="P534" i="6"/>
  <c r="L535" i="6"/>
  <c r="O535" i="6" s="1"/>
  <c r="P535" i="6"/>
  <c r="I537" i="6"/>
  <c r="I522" i="6" s="1"/>
  <c r="K522" i="6" s="1"/>
  <c r="I538" i="6"/>
  <c r="K538" i="6" s="1"/>
  <c r="I539" i="6"/>
  <c r="K539" i="6" s="1"/>
  <c r="I540" i="6"/>
  <c r="K540" i="6" s="1"/>
  <c r="I541" i="6"/>
  <c r="K541" i="6" s="1"/>
  <c r="I542" i="6"/>
  <c r="K542" i="6" s="1"/>
  <c r="L545" i="6"/>
  <c r="O548" i="6"/>
  <c r="P548" i="6"/>
  <c r="L549" i="6"/>
  <c r="N549" i="6"/>
  <c r="N546" i="6" s="1"/>
  <c r="M555" i="6"/>
  <c r="M545" i="6" s="1"/>
  <c r="P545" i="6" s="1"/>
  <c r="N555" i="6"/>
  <c r="N545" i="6" s="1"/>
  <c r="N544" i="6" s="1"/>
  <c r="O556" i="6"/>
  <c r="P556" i="6"/>
  <c r="L557" i="6"/>
  <c r="L555" i="6" s="1"/>
  <c r="O555" i="6" s="1"/>
  <c r="P557" i="6"/>
  <c r="I560" i="6"/>
  <c r="K560" i="6" s="1"/>
  <c r="J560" i="6"/>
  <c r="I561" i="6"/>
  <c r="K561" i="6" s="1"/>
  <c r="J561" i="6"/>
  <c r="I568" i="6"/>
  <c r="K568" i="6" s="1"/>
  <c r="J568" i="6"/>
  <c r="I569" i="6"/>
  <c r="K569" i="6" s="1"/>
  <c r="J569" i="6"/>
  <c r="I576" i="6"/>
  <c r="K576" i="6" s="1"/>
  <c r="J576" i="6"/>
  <c r="J559" i="6" s="1"/>
  <c r="J543" i="6" s="1"/>
  <c r="I577" i="6"/>
  <c r="K577" i="6" s="1"/>
  <c r="J582" i="6"/>
  <c r="J583" i="6"/>
  <c r="J577" i="6" s="1"/>
  <c r="I593" i="6"/>
  <c r="I592" i="6" s="1"/>
  <c r="I594" i="6"/>
  <c r="J595" i="6"/>
  <c r="J596" i="6"/>
  <c r="J603" i="6"/>
  <c r="J593" i="6" s="1"/>
  <c r="J592" i="6" s="1"/>
  <c r="J604" i="6"/>
  <c r="J594" i="6" s="1"/>
  <c r="J611" i="6"/>
  <c r="K611" i="6"/>
  <c r="J612" i="6"/>
  <c r="K612" i="6"/>
  <c r="J613" i="6"/>
  <c r="K613" i="6"/>
  <c r="I620" i="6"/>
  <c r="K620" i="6" s="1"/>
  <c r="J620" i="6"/>
  <c r="I621" i="6"/>
  <c r="K621" i="6" s="1"/>
  <c r="J621" i="6"/>
  <c r="L630" i="6"/>
  <c r="O630" i="6" s="1"/>
  <c r="M630" i="6"/>
  <c r="N630" i="6"/>
  <c r="P630" i="6"/>
  <c r="O633" i="6"/>
  <c r="P633" i="6"/>
  <c r="L634" i="6"/>
  <c r="M634" i="6" s="1"/>
  <c r="N634" i="6"/>
  <c r="N631" i="6" s="1"/>
  <c r="M639" i="6"/>
  <c r="P639" i="6" s="1"/>
  <c r="N639" i="6"/>
  <c r="O640" i="6"/>
  <c r="P640" i="6"/>
  <c r="L641" i="6"/>
  <c r="P641" i="6"/>
  <c r="I643" i="6"/>
  <c r="K643" i="6" s="1"/>
  <c r="I644" i="6"/>
  <c r="K644" i="6" s="1"/>
  <c r="J645" i="6"/>
  <c r="K645" i="6"/>
  <c r="J646" i="6"/>
  <c r="K646" i="6"/>
  <c r="I647" i="6"/>
  <c r="J647" i="6"/>
  <c r="J648" i="6"/>
  <c r="K648" i="6"/>
  <c r="I649" i="6"/>
  <c r="J649" i="6"/>
  <c r="J650" i="6"/>
  <c r="K650" i="6"/>
  <c r="I651" i="6"/>
  <c r="I628" i="6" s="1"/>
  <c r="J651" i="6"/>
  <c r="J628" i="6" s="1"/>
  <c r="A652" i="6"/>
  <c r="J652" i="6"/>
  <c r="K652" i="6"/>
  <c r="L656" i="6"/>
  <c r="M656" i="6"/>
  <c r="P656" i="6" s="1"/>
  <c r="N656" i="6"/>
  <c r="O659" i="6"/>
  <c r="P659" i="6"/>
  <c r="L660" i="6"/>
  <c r="L657" i="6" s="1"/>
  <c r="N660" i="6"/>
  <c r="N657" i="6" s="1"/>
  <c r="L665" i="6"/>
  <c r="M665" i="6"/>
  <c r="N665" i="6"/>
  <c r="O665" i="6"/>
  <c r="P665" i="6"/>
  <c r="O666" i="6"/>
  <c r="P666" i="6"/>
  <c r="O667" i="6"/>
  <c r="P667" i="6"/>
  <c r="I669" i="6"/>
  <c r="K672" i="6" s="1"/>
  <c r="J669" i="6"/>
  <c r="J654" i="6" s="1"/>
  <c r="I670" i="6"/>
  <c r="K670" i="6" s="1"/>
  <c r="I671" i="6"/>
  <c r="K671" i="6" s="1"/>
  <c r="J675" i="6"/>
  <c r="I678" i="6"/>
  <c r="K678" i="6" s="1"/>
  <c r="J679" i="6"/>
  <c r="J678" i="6" s="1"/>
  <c r="L686" i="6"/>
  <c r="O686" i="6" s="1"/>
  <c r="M686" i="6"/>
  <c r="P686" i="6" s="1"/>
  <c r="N686" i="6"/>
  <c r="L690" i="6"/>
  <c r="M690" i="6" s="1"/>
  <c r="N690" i="6"/>
  <c r="N687" i="6" s="1"/>
  <c r="N685" i="6" s="1"/>
  <c r="L695" i="6"/>
  <c r="O695" i="6" s="1"/>
  <c r="M695" i="6"/>
  <c r="P695" i="6" s="1"/>
  <c r="N695" i="6"/>
  <c r="O696" i="6"/>
  <c r="P696" i="6"/>
  <c r="O697" i="6"/>
  <c r="P697" i="6"/>
  <c r="I699" i="6"/>
  <c r="J699" i="6"/>
  <c r="I700" i="6"/>
  <c r="J700" i="6"/>
  <c r="I701" i="6"/>
  <c r="J701" i="6"/>
  <c r="I704" i="6"/>
  <c r="I707" i="6"/>
  <c r="I708" i="6"/>
  <c r="J708" i="6"/>
  <c r="J718" i="6"/>
  <c r="J719" i="6"/>
  <c r="I720" i="6"/>
  <c r="J720" i="6"/>
  <c r="I721" i="6"/>
  <c r="I722" i="6"/>
  <c r="I723" i="6"/>
  <c r="J723" i="6"/>
  <c r="J724" i="6"/>
  <c r="I725" i="6"/>
  <c r="J725" i="6"/>
  <c r="I726" i="6"/>
  <c r="K726" i="6" s="1"/>
  <c r="J726" i="6"/>
  <c r="J727" i="6"/>
  <c r="I728" i="6"/>
  <c r="K728" i="6" s="1"/>
  <c r="J728" i="6"/>
  <c r="I729" i="6"/>
  <c r="K729" i="6" s="1"/>
  <c r="J729" i="6"/>
  <c r="J736" i="6"/>
  <c r="K736" i="6"/>
  <c r="L738" i="6"/>
  <c r="L737" i="6" s="1"/>
  <c r="O737" i="6" s="1"/>
  <c r="M738" i="6"/>
  <c r="N738" i="6"/>
  <c r="P738" i="6"/>
  <c r="L739" i="6"/>
  <c r="O739" i="6" s="1"/>
  <c r="M739" i="6"/>
  <c r="M737" i="6" s="1"/>
  <c r="P737" i="6" s="1"/>
  <c r="L740" i="6"/>
  <c r="O740" i="6" s="1"/>
  <c r="M740" i="6"/>
  <c r="P740" i="6"/>
  <c r="O741" i="6"/>
  <c r="P741" i="6"/>
  <c r="N742" i="6"/>
  <c r="N739" i="6" s="1"/>
  <c r="O742" i="6"/>
  <c r="P742" i="6"/>
  <c r="L747" i="6"/>
  <c r="O747" i="6" s="1"/>
  <c r="M747" i="6"/>
  <c r="P747" i="6" s="1"/>
  <c r="N747" i="6"/>
  <c r="O748" i="6"/>
  <c r="P748" i="6"/>
  <c r="O749" i="6"/>
  <c r="P749" i="6"/>
  <c r="J753" i="6"/>
  <c r="K753" i="6"/>
  <c r="L755" i="6"/>
  <c r="O755" i="6" s="1"/>
  <c r="M755" i="6"/>
  <c r="P755" i="6" s="1"/>
  <c r="N755" i="6"/>
  <c r="L756" i="6"/>
  <c r="O756" i="6" s="1"/>
  <c r="M756" i="6"/>
  <c r="M754" i="6" s="1"/>
  <c r="P754" i="6" s="1"/>
  <c r="L757" i="6"/>
  <c r="O757" i="6" s="1"/>
  <c r="M757" i="6"/>
  <c r="P757" i="6"/>
  <c r="O758" i="6"/>
  <c r="P758" i="6"/>
  <c r="N759" i="6"/>
  <c r="N756" i="6" s="1"/>
  <c r="N754" i="6" s="1"/>
  <c r="O759" i="6"/>
  <c r="P759" i="6"/>
  <c r="L764" i="6"/>
  <c r="M764" i="6"/>
  <c r="N764" i="6"/>
  <c r="O764" i="6"/>
  <c r="P764" i="6"/>
  <c r="O765" i="6"/>
  <c r="P765" i="6"/>
  <c r="O766" i="6"/>
  <c r="P766" i="6"/>
  <c r="J769" i="6"/>
  <c r="K769" i="6"/>
  <c r="L771" i="6"/>
  <c r="M771" i="6"/>
  <c r="P771" i="6" s="1"/>
  <c r="N771" i="6"/>
  <c r="L772" i="6"/>
  <c r="O772" i="6" s="1"/>
  <c r="M772" i="6"/>
  <c r="M770" i="6" s="1"/>
  <c r="P770" i="6" s="1"/>
  <c r="L773" i="6"/>
  <c r="O773" i="6" s="1"/>
  <c r="M773" i="6"/>
  <c r="P773" i="6" s="1"/>
  <c r="O774" i="6"/>
  <c r="P774" i="6"/>
  <c r="N775" i="6"/>
  <c r="N772" i="6" s="1"/>
  <c r="O775" i="6"/>
  <c r="P775" i="6"/>
  <c r="L780" i="6"/>
  <c r="O780" i="6" s="1"/>
  <c r="M780" i="6"/>
  <c r="P780" i="6" s="1"/>
  <c r="N780" i="6"/>
  <c r="O781" i="6"/>
  <c r="P781" i="6"/>
  <c r="O782" i="6"/>
  <c r="P782" i="6"/>
  <c r="L787" i="6"/>
  <c r="O787" i="6" s="1"/>
  <c r="M787" i="6"/>
  <c r="N787" i="6"/>
  <c r="P787" i="6"/>
  <c r="M788" i="6"/>
  <c r="M786" i="6" s="1"/>
  <c r="P786" i="6" s="1"/>
  <c r="M789" i="6"/>
  <c r="P789" i="6" s="1"/>
  <c r="O790" i="6"/>
  <c r="P790" i="6"/>
  <c r="L791" i="6"/>
  <c r="L789" i="6" s="1"/>
  <c r="O789" i="6" s="1"/>
  <c r="N791" i="6"/>
  <c r="N789" i="6" s="1"/>
  <c r="P791" i="6"/>
  <c r="L796" i="6"/>
  <c r="O796" i="6" s="1"/>
  <c r="M796" i="6"/>
  <c r="N796" i="6"/>
  <c r="P796" i="6"/>
  <c r="O797" i="6"/>
  <c r="P797" i="6"/>
  <c r="O798" i="6"/>
  <c r="P798" i="6"/>
  <c r="I800" i="6"/>
  <c r="I785" i="6" s="1"/>
  <c r="K785" i="6" s="1"/>
  <c r="J800" i="6"/>
  <c r="J785" i="6" s="1"/>
  <c r="J801" i="6"/>
  <c r="K802" i="6"/>
  <c r="J804" i="6"/>
  <c r="K804" i="6"/>
  <c r="L806" i="6"/>
  <c r="M806" i="6"/>
  <c r="M805" i="6" s="1"/>
  <c r="P805" i="6" s="1"/>
  <c r="N806" i="6"/>
  <c r="O806" i="6"/>
  <c r="P806" i="6"/>
  <c r="L807" i="6"/>
  <c r="O807" i="6" s="1"/>
  <c r="M807" i="6"/>
  <c r="P807" i="6"/>
  <c r="L808" i="6"/>
  <c r="O808" i="6" s="1"/>
  <c r="M808" i="6"/>
  <c r="P808" i="6"/>
  <c r="O809" i="6"/>
  <c r="P809" i="6"/>
  <c r="N810" i="6"/>
  <c r="N808" i="6" s="1"/>
  <c r="O810" i="6"/>
  <c r="P810" i="6"/>
  <c r="L815" i="6"/>
  <c r="M815" i="6"/>
  <c r="P815" i="6" s="1"/>
  <c r="N815" i="6"/>
  <c r="O815" i="6"/>
  <c r="O816" i="6"/>
  <c r="P816" i="6"/>
  <c r="O817" i="6"/>
  <c r="P817" i="6"/>
  <c r="H820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8" i="6"/>
  <c r="J828" i="6"/>
  <c r="L22" i="5"/>
  <c r="M22" i="5"/>
  <c r="N22" i="5"/>
  <c r="O22" i="5"/>
  <c r="L25" i="5"/>
  <c r="M25" i="5"/>
  <c r="P25" i="5" s="1"/>
  <c r="N25" i="5"/>
  <c r="L32" i="5"/>
  <c r="L12" i="5" s="1"/>
  <c r="M32" i="5"/>
  <c r="N32" i="5"/>
  <c r="P32" i="5"/>
  <c r="L35" i="5"/>
  <c r="M35" i="5"/>
  <c r="N35" i="5"/>
  <c r="O35" i="5"/>
  <c r="M36" i="5"/>
  <c r="N36" i="5"/>
  <c r="P36" i="5"/>
  <c r="L42" i="5"/>
  <c r="O42" i="5" s="1"/>
  <c r="M42" i="5"/>
  <c r="N42" i="5"/>
  <c r="O45" i="5"/>
  <c r="P45" i="5"/>
  <c r="L46" i="5"/>
  <c r="M46" i="5"/>
  <c r="N46" i="5"/>
  <c r="N44" i="5" s="1"/>
  <c r="O48" i="5"/>
  <c r="P48" i="5"/>
  <c r="L49" i="5"/>
  <c r="M49" i="5"/>
  <c r="N49" i="5"/>
  <c r="L54" i="5"/>
  <c r="M54" i="5"/>
  <c r="P54" i="5" s="1"/>
  <c r="N54" i="5"/>
  <c r="O57" i="5"/>
  <c r="P57" i="5"/>
  <c r="L58" i="5"/>
  <c r="L56" i="5" s="1"/>
  <c r="M58" i="5"/>
  <c r="N58" i="5"/>
  <c r="O60" i="5"/>
  <c r="P60" i="5"/>
  <c r="L61" i="5"/>
  <c r="L59" i="5" s="1"/>
  <c r="M61" i="5"/>
  <c r="N61" i="5"/>
  <c r="N59" i="5" s="1"/>
  <c r="L67" i="5"/>
  <c r="M67" i="5"/>
  <c r="N67" i="5"/>
  <c r="O67" i="5"/>
  <c r="O70" i="5"/>
  <c r="P70" i="5"/>
  <c r="L71" i="5"/>
  <c r="M71" i="5"/>
  <c r="M69" i="5" s="1"/>
  <c r="P69" i="5" s="1"/>
  <c r="N71" i="5"/>
  <c r="N69" i="5" s="1"/>
  <c r="O73" i="5"/>
  <c r="P73" i="5"/>
  <c r="L74" i="5"/>
  <c r="O74" i="5" s="1"/>
  <c r="M74" i="5"/>
  <c r="M72" i="5" s="1"/>
  <c r="P72" i="5" s="1"/>
  <c r="N74" i="5"/>
  <c r="N72" i="5" s="1"/>
  <c r="J76" i="5"/>
  <c r="J64" i="5" s="1"/>
  <c r="J77" i="5"/>
  <c r="J65" i="5" s="1"/>
  <c r="I78" i="5"/>
  <c r="K78" i="5" s="1"/>
  <c r="I79" i="5"/>
  <c r="I80" i="5"/>
  <c r="K80" i="5" s="1"/>
  <c r="I81" i="5"/>
  <c r="K81" i="5" s="1"/>
  <c r="I82" i="5"/>
  <c r="K82" i="5" s="1"/>
  <c r="I83" i="5"/>
  <c r="K83" i="5" s="1"/>
  <c r="I84" i="5"/>
  <c r="K84" i="5" s="1"/>
  <c r="J86" i="5"/>
  <c r="L89" i="5"/>
  <c r="M89" i="5"/>
  <c r="N89" i="5"/>
  <c r="P89" i="5"/>
  <c r="O92" i="5"/>
  <c r="P92" i="5"/>
  <c r="L93" i="5"/>
  <c r="L91" i="5" s="1"/>
  <c r="M93" i="5"/>
  <c r="N93" i="5"/>
  <c r="N91" i="5" s="1"/>
  <c r="O95" i="5"/>
  <c r="P95" i="5"/>
  <c r="L96" i="5"/>
  <c r="L94" i="5" s="1"/>
  <c r="O94" i="5" s="1"/>
  <c r="M96" i="5"/>
  <c r="P96" i="5" s="1"/>
  <c r="N96" i="5"/>
  <c r="N94" i="5" s="1"/>
  <c r="I98" i="5"/>
  <c r="J98" i="5"/>
  <c r="I99" i="5"/>
  <c r="K99" i="5" s="1"/>
  <c r="J99" i="5"/>
  <c r="J87" i="5" s="1"/>
  <c r="I100" i="5"/>
  <c r="K100" i="5" s="1"/>
  <c r="J100" i="5"/>
  <c r="I102" i="5"/>
  <c r="K102" i="5" s="1"/>
  <c r="I103" i="5"/>
  <c r="K103" i="5" s="1"/>
  <c r="I104" i="5"/>
  <c r="K104" i="5" s="1"/>
  <c r="I106" i="5"/>
  <c r="K106" i="5" s="1"/>
  <c r="I107" i="5"/>
  <c r="K107" i="5" s="1"/>
  <c r="I109" i="5"/>
  <c r="K109" i="5" s="1"/>
  <c r="I110" i="5"/>
  <c r="K110" i="5" s="1"/>
  <c r="I111" i="5"/>
  <c r="K111" i="5" s="1"/>
  <c r="J111" i="5"/>
  <c r="J112" i="5"/>
  <c r="I113" i="5"/>
  <c r="K113" i="5" s="1"/>
  <c r="I114" i="5"/>
  <c r="K114" i="5" s="1"/>
  <c r="I115" i="5"/>
  <c r="K115" i="5" s="1"/>
  <c r="I116" i="5"/>
  <c r="K116" i="5" s="1"/>
  <c r="L120" i="5"/>
  <c r="M120" i="5"/>
  <c r="P120" i="5" s="1"/>
  <c r="N120" i="5"/>
  <c r="O123" i="5"/>
  <c r="P123" i="5"/>
  <c r="L124" i="5"/>
  <c r="L122" i="5" s="1"/>
  <c r="O122" i="5" s="1"/>
  <c r="M124" i="5"/>
  <c r="N124" i="5"/>
  <c r="O126" i="5"/>
  <c r="P126" i="5"/>
  <c r="L127" i="5"/>
  <c r="L125" i="5" s="1"/>
  <c r="O125" i="5" s="1"/>
  <c r="M127" i="5"/>
  <c r="N127" i="5"/>
  <c r="N125" i="5" s="1"/>
  <c r="J130" i="5"/>
  <c r="L133" i="5"/>
  <c r="M133" i="5"/>
  <c r="N133" i="5"/>
  <c r="O133" i="5"/>
  <c r="O136" i="5"/>
  <c r="P136" i="5"/>
  <c r="L137" i="5"/>
  <c r="M137" i="5"/>
  <c r="N137" i="5"/>
  <c r="O139" i="5"/>
  <c r="P139" i="5"/>
  <c r="L140" i="5"/>
  <c r="O140" i="5" s="1"/>
  <c r="M140" i="5"/>
  <c r="M138" i="5" s="1"/>
  <c r="P138" i="5" s="1"/>
  <c r="N140" i="5"/>
  <c r="N138" i="5" s="1"/>
  <c r="I144" i="5"/>
  <c r="K144" i="5" s="1"/>
  <c r="I145" i="5"/>
  <c r="I146" i="5"/>
  <c r="K146" i="5" s="1"/>
  <c r="J148" i="5"/>
  <c r="L150" i="5"/>
  <c r="M150" i="5"/>
  <c r="P150" i="5" s="1"/>
  <c r="N150" i="5"/>
  <c r="O153" i="5"/>
  <c r="P153" i="5"/>
  <c r="L154" i="5"/>
  <c r="L152" i="5" s="1"/>
  <c r="O152" i="5" s="1"/>
  <c r="M154" i="5"/>
  <c r="N154" i="5"/>
  <c r="O156" i="5"/>
  <c r="P156" i="5"/>
  <c r="L157" i="5"/>
  <c r="L155" i="5" s="1"/>
  <c r="O155" i="5" s="1"/>
  <c r="M157" i="5"/>
  <c r="N157" i="5"/>
  <c r="N155" i="5" s="1"/>
  <c r="I159" i="5"/>
  <c r="I148" i="5" s="1"/>
  <c r="K148" i="5" s="1"/>
  <c r="Q164" i="5"/>
  <c r="L166" i="5"/>
  <c r="M166" i="5"/>
  <c r="N166" i="5"/>
  <c r="P166" i="5"/>
  <c r="O169" i="5"/>
  <c r="P169" i="5"/>
  <c r="Q169" i="5"/>
  <c r="L170" i="5"/>
  <c r="L168" i="5" s="1"/>
  <c r="O168" i="5" s="1"/>
  <c r="M170" i="5"/>
  <c r="N170" i="5"/>
  <c r="N168" i="5" s="1"/>
  <c r="O172" i="5"/>
  <c r="P172" i="5"/>
  <c r="Q172" i="5"/>
  <c r="L173" i="5"/>
  <c r="M173" i="5"/>
  <c r="M171" i="5" s="1"/>
  <c r="P171" i="5" s="1"/>
  <c r="N173" i="5"/>
  <c r="J174" i="5"/>
  <c r="Q174" i="5"/>
  <c r="Q175" i="5"/>
  <c r="I176" i="5"/>
  <c r="I174" i="5" s="1"/>
  <c r="I164" i="5" s="1"/>
  <c r="K164" i="5" s="1"/>
  <c r="Q176" i="5"/>
  <c r="J177" i="5"/>
  <c r="Q177" i="5"/>
  <c r="Q178" i="5"/>
  <c r="Q179" i="5"/>
  <c r="L182" i="5"/>
  <c r="M182" i="5"/>
  <c r="P182" i="5" s="1"/>
  <c r="N182" i="5"/>
  <c r="O185" i="5"/>
  <c r="P185" i="5"/>
  <c r="L186" i="5"/>
  <c r="L184" i="5" s="1"/>
  <c r="M186" i="5"/>
  <c r="N186" i="5"/>
  <c r="O188" i="5"/>
  <c r="P188" i="5"/>
  <c r="L189" i="5"/>
  <c r="L187" i="5" s="1"/>
  <c r="O187" i="5" s="1"/>
  <c r="M189" i="5"/>
  <c r="N189" i="5"/>
  <c r="N187" i="5" s="1"/>
  <c r="J190" i="5"/>
  <c r="L191" i="5"/>
  <c r="N191" i="5"/>
  <c r="P191" i="5"/>
  <c r="I193" i="5"/>
  <c r="I190" i="5" s="1"/>
  <c r="K190" i="5" s="1"/>
  <c r="J194" i="5"/>
  <c r="J197" i="5"/>
  <c r="N198" i="5"/>
  <c r="P198" i="5"/>
  <c r="L199" i="5"/>
  <c r="L200" i="5"/>
  <c r="L201" i="5"/>
  <c r="L202" i="5"/>
  <c r="I204" i="5"/>
  <c r="I197" i="5" s="1"/>
  <c r="K197" i="5" s="1"/>
  <c r="K206" i="5"/>
  <c r="K207" i="5"/>
  <c r="J208" i="5"/>
  <c r="N209" i="5"/>
  <c r="P209" i="5"/>
  <c r="L210" i="5"/>
  <c r="L211" i="5"/>
  <c r="L212" i="5"/>
  <c r="I214" i="5"/>
  <c r="K214" i="5" s="1"/>
  <c r="I215" i="5"/>
  <c r="I208" i="5" s="1"/>
  <c r="K208" i="5" s="1"/>
  <c r="J216" i="5"/>
  <c r="N217" i="5"/>
  <c r="P217" i="5"/>
  <c r="L218" i="5"/>
  <c r="L219" i="5"/>
  <c r="L220" i="5"/>
  <c r="I223" i="5"/>
  <c r="K223" i="5" s="1"/>
  <c r="I224" i="5"/>
  <c r="I225" i="5"/>
  <c r="N228" i="5"/>
  <c r="N229" i="5"/>
  <c r="N230" i="5"/>
  <c r="N231" i="5"/>
  <c r="J233" i="5"/>
  <c r="I235" i="5"/>
  <c r="K235" i="5" s="1"/>
  <c r="J235" i="5"/>
  <c r="I236" i="5"/>
  <c r="K236" i="5" s="1"/>
  <c r="J236" i="5"/>
  <c r="J237" i="5"/>
  <c r="J226" i="5" s="1"/>
  <c r="J180" i="5" s="1"/>
  <c r="N238" i="5"/>
  <c r="P238" i="5"/>
  <c r="L239" i="5"/>
  <c r="L240" i="5"/>
  <c r="L241" i="5"/>
  <c r="L242" i="5"/>
  <c r="I244" i="5"/>
  <c r="I237" i="5" s="1"/>
  <c r="K246" i="5"/>
  <c r="K247" i="5"/>
  <c r="J248" i="5"/>
  <c r="N249" i="5"/>
  <c r="N227" i="5" s="1"/>
  <c r="P249" i="5"/>
  <c r="L250" i="5"/>
  <c r="L251" i="5"/>
  <c r="L252" i="5"/>
  <c r="L253" i="5"/>
  <c r="I255" i="5"/>
  <c r="I248" i="5" s="1"/>
  <c r="K248" i="5" s="1"/>
  <c r="K257" i="5"/>
  <c r="K258" i="5"/>
  <c r="J260" i="5"/>
  <c r="L262" i="5"/>
  <c r="O262" i="5" s="1"/>
  <c r="M262" i="5"/>
  <c r="N262" i="5"/>
  <c r="O265" i="5"/>
  <c r="P265" i="5"/>
  <c r="L266" i="5"/>
  <c r="L264" i="5" s="1"/>
  <c r="M266" i="5"/>
  <c r="M264" i="5" s="1"/>
  <c r="N266" i="5"/>
  <c r="O268" i="5"/>
  <c r="P268" i="5"/>
  <c r="L269" i="5"/>
  <c r="L267" i="5" s="1"/>
  <c r="O267" i="5" s="1"/>
  <c r="M269" i="5"/>
  <c r="N269" i="5"/>
  <c r="N267" i="5" s="1"/>
  <c r="I271" i="5"/>
  <c r="I260" i="5" s="1"/>
  <c r="J276" i="5"/>
  <c r="L278" i="5"/>
  <c r="M278" i="5"/>
  <c r="N278" i="5"/>
  <c r="O281" i="5"/>
  <c r="P281" i="5"/>
  <c r="L282" i="5"/>
  <c r="L280" i="5" s="1"/>
  <c r="M282" i="5"/>
  <c r="M280" i="5" s="1"/>
  <c r="N282" i="5"/>
  <c r="O284" i="5"/>
  <c r="P284" i="5"/>
  <c r="L285" i="5"/>
  <c r="O285" i="5" s="1"/>
  <c r="M285" i="5"/>
  <c r="P285" i="5" s="1"/>
  <c r="N285" i="5"/>
  <c r="N283" i="5" s="1"/>
  <c r="I287" i="5"/>
  <c r="I288" i="5"/>
  <c r="I275" i="5" s="1"/>
  <c r="I290" i="5"/>
  <c r="K290" i="5" s="1"/>
  <c r="I291" i="5"/>
  <c r="K291" i="5" s="1"/>
  <c r="I293" i="5"/>
  <c r="K293" i="5" s="1"/>
  <c r="I294" i="5"/>
  <c r="K294" i="5" s="1"/>
  <c r="J297" i="5"/>
  <c r="L299" i="5"/>
  <c r="M299" i="5"/>
  <c r="N299" i="5"/>
  <c r="P299" i="5"/>
  <c r="O302" i="5"/>
  <c r="P302" i="5"/>
  <c r="L303" i="5"/>
  <c r="M303" i="5"/>
  <c r="M301" i="5" s="1"/>
  <c r="N303" i="5"/>
  <c r="N301" i="5" s="1"/>
  <c r="O305" i="5"/>
  <c r="P305" i="5"/>
  <c r="L306" i="5"/>
  <c r="O306" i="5" s="1"/>
  <c r="M306" i="5"/>
  <c r="M304" i="5" s="1"/>
  <c r="P304" i="5" s="1"/>
  <c r="N306" i="5"/>
  <c r="N304" i="5" s="1"/>
  <c r="I309" i="5"/>
  <c r="K309" i="5" s="1"/>
  <c r="I310" i="5"/>
  <c r="K310" i="5" s="1"/>
  <c r="I311" i="5"/>
  <c r="K311" i="5" s="1"/>
  <c r="I312" i="5"/>
  <c r="K312" i="5" s="1"/>
  <c r="J314" i="5"/>
  <c r="L316" i="5"/>
  <c r="O316" i="5" s="1"/>
  <c r="M316" i="5"/>
  <c r="N316" i="5"/>
  <c r="O319" i="5"/>
  <c r="P319" i="5"/>
  <c r="L320" i="5"/>
  <c r="L318" i="5" s="1"/>
  <c r="M320" i="5"/>
  <c r="N320" i="5"/>
  <c r="O322" i="5"/>
  <c r="P322" i="5"/>
  <c r="L323" i="5"/>
  <c r="O323" i="5" s="1"/>
  <c r="M323" i="5"/>
  <c r="M321" i="5" s="1"/>
  <c r="P321" i="5" s="1"/>
  <c r="N323" i="5"/>
  <c r="N321" i="5" s="1"/>
  <c r="I325" i="5"/>
  <c r="I314" i="5" s="1"/>
  <c r="K314" i="5" s="1"/>
  <c r="I327" i="5"/>
  <c r="L329" i="5"/>
  <c r="M329" i="5"/>
  <c r="P329" i="5" s="1"/>
  <c r="N329" i="5"/>
  <c r="O332" i="5"/>
  <c r="P332" i="5"/>
  <c r="L333" i="5"/>
  <c r="M333" i="5"/>
  <c r="M331" i="5" s="1"/>
  <c r="N333" i="5"/>
  <c r="O335" i="5"/>
  <c r="P335" i="5"/>
  <c r="L336" i="5"/>
  <c r="M336" i="5"/>
  <c r="N336" i="5"/>
  <c r="N334" i="5" s="1"/>
  <c r="D337" i="5"/>
  <c r="I338" i="5"/>
  <c r="J338" i="5"/>
  <c r="I340" i="5"/>
  <c r="J340" i="5"/>
  <c r="J341" i="5"/>
  <c r="J342" i="5"/>
  <c r="J343" i="5"/>
  <c r="L346" i="5"/>
  <c r="O346" i="5" s="1"/>
  <c r="M346" i="5"/>
  <c r="P346" i="5" s="1"/>
  <c r="N346" i="5"/>
  <c r="O349" i="5"/>
  <c r="P349" i="5"/>
  <c r="L350" i="5"/>
  <c r="M350" i="5"/>
  <c r="N350" i="5"/>
  <c r="N348" i="5" s="1"/>
  <c r="O352" i="5"/>
  <c r="P352" i="5"/>
  <c r="L353" i="5"/>
  <c r="L351" i="5" s="1"/>
  <c r="M353" i="5"/>
  <c r="M351" i="5" s="1"/>
  <c r="N353" i="5"/>
  <c r="N351" i="5" s="1"/>
  <c r="I355" i="5"/>
  <c r="J358" i="5"/>
  <c r="K358" i="5"/>
  <c r="I359" i="5"/>
  <c r="J359" i="5"/>
  <c r="I360" i="5"/>
  <c r="J360" i="5"/>
  <c r="J361" i="5"/>
  <c r="K361" i="5"/>
  <c r="I362" i="5"/>
  <c r="J362" i="5"/>
  <c r="J355" i="5" s="1"/>
  <c r="J363" i="5"/>
  <c r="K363" i="5"/>
  <c r="I365" i="5"/>
  <c r="J368" i="5"/>
  <c r="K368" i="5"/>
  <c r="I369" i="5"/>
  <c r="J369" i="5"/>
  <c r="I370" i="5"/>
  <c r="J370" i="5"/>
  <c r="J371" i="5"/>
  <c r="K371" i="5"/>
  <c r="I372" i="5"/>
  <c r="J372" i="5"/>
  <c r="J365" i="5" s="1"/>
  <c r="A373" i="5"/>
  <c r="J373" i="5"/>
  <c r="K373" i="5"/>
  <c r="I374" i="5"/>
  <c r="J377" i="5"/>
  <c r="K377" i="5"/>
  <c r="I378" i="5"/>
  <c r="J378" i="5"/>
  <c r="I379" i="5"/>
  <c r="J379" i="5"/>
  <c r="J380" i="5"/>
  <c r="K380" i="5"/>
  <c r="I381" i="5"/>
  <c r="J381" i="5"/>
  <c r="J374" i="5" s="1"/>
  <c r="A382" i="5"/>
  <c r="J382" i="5"/>
  <c r="K382" i="5"/>
  <c r="D384" i="5"/>
  <c r="I385" i="5"/>
  <c r="J385" i="5"/>
  <c r="I388" i="5"/>
  <c r="K388" i="5" s="1"/>
  <c r="J388" i="5"/>
  <c r="L390" i="5"/>
  <c r="M390" i="5"/>
  <c r="P390" i="5" s="1"/>
  <c r="N390" i="5"/>
  <c r="O393" i="5"/>
  <c r="P393" i="5"/>
  <c r="L394" i="5"/>
  <c r="O394" i="5" s="1"/>
  <c r="M394" i="5"/>
  <c r="N394" i="5"/>
  <c r="N392" i="5" s="1"/>
  <c r="O396" i="5"/>
  <c r="P396" i="5"/>
  <c r="L397" i="5"/>
  <c r="O397" i="5" s="1"/>
  <c r="M397" i="5"/>
  <c r="M395" i="5" s="1"/>
  <c r="P395" i="5" s="1"/>
  <c r="N397" i="5"/>
  <c r="N395" i="5" s="1"/>
  <c r="K399" i="5"/>
  <c r="K400" i="5"/>
  <c r="I401" i="5"/>
  <c r="J401" i="5"/>
  <c r="K401" i="5"/>
  <c r="L403" i="5"/>
  <c r="M403" i="5"/>
  <c r="P403" i="5" s="1"/>
  <c r="N403" i="5"/>
  <c r="O406" i="5"/>
  <c r="P406" i="5"/>
  <c r="L407" i="5"/>
  <c r="M407" i="5"/>
  <c r="P407" i="5" s="1"/>
  <c r="N407" i="5"/>
  <c r="O409" i="5"/>
  <c r="P409" i="5"/>
  <c r="L410" i="5"/>
  <c r="M410" i="5"/>
  <c r="P410" i="5" s="1"/>
  <c r="N410" i="5"/>
  <c r="N408" i="5" s="1"/>
  <c r="K412" i="5"/>
  <c r="K413" i="5"/>
  <c r="L420" i="5"/>
  <c r="M420" i="5"/>
  <c r="P420" i="5" s="1"/>
  <c r="N420" i="5"/>
  <c r="O420" i="5"/>
  <c r="O423" i="5"/>
  <c r="P423" i="5"/>
  <c r="L424" i="5"/>
  <c r="M424" i="5" s="1"/>
  <c r="N424" i="5"/>
  <c r="N421" i="5" s="1"/>
  <c r="N428" i="5"/>
  <c r="M429" i="5"/>
  <c r="P429" i="5" s="1"/>
  <c r="N429" i="5"/>
  <c r="O430" i="5"/>
  <c r="P430" i="5"/>
  <c r="L431" i="5"/>
  <c r="O431" i="5" s="1"/>
  <c r="P431" i="5"/>
  <c r="J434" i="5"/>
  <c r="J418" i="5" s="1"/>
  <c r="I435" i="5"/>
  <c r="I433" i="5" s="1"/>
  <c r="I437" i="5"/>
  <c r="K437" i="5" s="1"/>
  <c r="I438" i="5"/>
  <c r="K438" i="5" s="1"/>
  <c r="I439" i="5"/>
  <c r="K439" i="5" s="1"/>
  <c r="I440" i="5"/>
  <c r="K440" i="5" s="1"/>
  <c r="I441" i="5"/>
  <c r="K441" i="5" s="1"/>
  <c r="J442" i="5"/>
  <c r="J443" i="5"/>
  <c r="L445" i="5"/>
  <c r="M445" i="5"/>
  <c r="N445" i="5"/>
  <c r="P445" i="5"/>
  <c r="O448" i="5"/>
  <c r="P448" i="5"/>
  <c r="L449" i="5"/>
  <c r="N453" i="5"/>
  <c r="N449" i="5" s="1"/>
  <c r="M454" i="5"/>
  <c r="P454" i="5" s="1"/>
  <c r="N454" i="5"/>
  <c r="O455" i="5"/>
  <c r="P455" i="5"/>
  <c r="L456" i="5"/>
  <c r="L454" i="5" s="1"/>
  <c r="O454" i="5" s="1"/>
  <c r="P456" i="5"/>
  <c r="K458" i="5"/>
  <c r="I460" i="5"/>
  <c r="I442" i="5" s="1"/>
  <c r="I462" i="5"/>
  <c r="I443" i="5" s="1"/>
  <c r="K443" i="5" s="1"/>
  <c r="I463" i="5"/>
  <c r="I464" i="5"/>
  <c r="I465" i="5"/>
  <c r="J465" i="5"/>
  <c r="I466" i="5"/>
  <c r="J466" i="5"/>
  <c r="L468" i="5"/>
  <c r="O468" i="5" s="1"/>
  <c r="M468" i="5"/>
  <c r="P468" i="5" s="1"/>
  <c r="N468" i="5"/>
  <c r="O471" i="5"/>
  <c r="P471" i="5"/>
  <c r="L472" i="5"/>
  <c r="L470" i="5" s="1"/>
  <c r="N473" i="5"/>
  <c r="N474" i="5"/>
  <c r="N476" i="5"/>
  <c r="M477" i="5"/>
  <c r="P477" i="5" s="1"/>
  <c r="N477" i="5"/>
  <c r="O478" i="5"/>
  <c r="P478" i="5"/>
  <c r="L479" i="5"/>
  <c r="L477" i="5" s="1"/>
  <c r="O477" i="5" s="1"/>
  <c r="P479" i="5"/>
  <c r="I483" i="5"/>
  <c r="K483" i="5" s="1"/>
  <c r="I485" i="5"/>
  <c r="K485" i="5" s="1"/>
  <c r="I487" i="5"/>
  <c r="K487" i="5" s="1"/>
  <c r="I489" i="5"/>
  <c r="K489" i="5" s="1"/>
  <c r="I492" i="5"/>
  <c r="K492" i="5" s="1"/>
  <c r="I495" i="5"/>
  <c r="K495" i="5" s="1"/>
  <c r="I498" i="5"/>
  <c r="K498" i="5" s="1"/>
  <c r="J500" i="5"/>
  <c r="K500" i="5"/>
  <c r="K501" i="5"/>
  <c r="L503" i="5"/>
  <c r="L502" i="5" s="1"/>
  <c r="O502" i="5" s="1"/>
  <c r="M503" i="5"/>
  <c r="M502" i="5" s="1"/>
  <c r="P502" i="5" s="1"/>
  <c r="N503" i="5"/>
  <c r="P503" i="5"/>
  <c r="L504" i="5"/>
  <c r="M504" i="5"/>
  <c r="P504" i="5" s="1"/>
  <c r="O504" i="5"/>
  <c r="L505" i="5"/>
  <c r="O505" i="5" s="1"/>
  <c r="M505" i="5"/>
  <c r="P505" i="5" s="1"/>
  <c r="O506" i="5"/>
  <c r="P506" i="5"/>
  <c r="N507" i="5"/>
  <c r="N505" i="5" s="1"/>
  <c r="O507" i="5"/>
  <c r="P507" i="5"/>
  <c r="L512" i="5"/>
  <c r="O512" i="5" s="1"/>
  <c r="M512" i="5"/>
  <c r="P512" i="5" s="1"/>
  <c r="N512" i="5"/>
  <c r="O513" i="5"/>
  <c r="P513" i="5"/>
  <c r="O514" i="5"/>
  <c r="P514" i="5"/>
  <c r="K516" i="5"/>
  <c r="J517" i="5"/>
  <c r="J501" i="5" s="1"/>
  <c r="K517" i="5"/>
  <c r="L524" i="5"/>
  <c r="M524" i="5"/>
  <c r="P524" i="5" s="1"/>
  <c r="N524" i="5"/>
  <c r="O524" i="5"/>
  <c r="O527" i="5"/>
  <c r="P527" i="5"/>
  <c r="L528" i="5"/>
  <c r="N528" i="5"/>
  <c r="N525" i="5" s="1"/>
  <c r="M533" i="5"/>
  <c r="P533" i="5" s="1"/>
  <c r="N533" i="5"/>
  <c r="O534" i="5"/>
  <c r="P534" i="5"/>
  <c r="L535" i="5"/>
  <c r="L533" i="5" s="1"/>
  <c r="O533" i="5" s="1"/>
  <c r="P535" i="5"/>
  <c r="I537" i="5"/>
  <c r="I522" i="5" s="1"/>
  <c r="I538" i="5"/>
  <c r="K538" i="5" s="1"/>
  <c r="I539" i="5"/>
  <c r="K539" i="5" s="1"/>
  <c r="I540" i="5"/>
  <c r="I541" i="5"/>
  <c r="K541" i="5" s="1"/>
  <c r="I542" i="5"/>
  <c r="K542" i="5" s="1"/>
  <c r="L545" i="5"/>
  <c r="O545" i="5" s="1"/>
  <c r="O548" i="5"/>
  <c r="P548" i="5"/>
  <c r="L549" i="5"/>
  <c r="L547" i="5" s="1"/>
  <c r="N552" i="5"/>
  <c r="N549" i="5" s="1"/>
  <c r="N553" i="5"/>
  <c r="M555" i="5"/>
  <c r="P555" i="5" s="1"/>
  <c r="N555" i="5"/>
  <c r="N545" i="5" s="1"/>
  <c r="O556" i="5"/>
  <c r="P556" i="5"/>
  <c r="L557" i="5"/>
  <c r="L555" i="5" s="1"/>
  <c r="O555" i="5" s="1"/>
  <c r="P557" i="5"/>
  <c r="I560" i="5"/>
  <c r="K560" i="5" s="1"/>
  <c r="J560" i="5"/>
  <c r="I561" i="5"/>
  <c r="K561" i="5" s="1"/>
  <c r="J561" i="5"/>
  <c r="I568" i="5"/>
  <c r="K568" i="5" s="1"/>
  <c r="J568" i="5"/>
  <c r="I569" i="5"/>
  <c r="K569" i="5" s="1"/>
  <c r="J569" i="5"/>
  <c r="I576" i="5"/>
  <c r="K576" i="5" s="1"/>
  <c r="I577" i="5"/>
  <c r="K577" i="5" s="1"/>
  <c r="J582" i="5"/>
  <c r="J576" i="5" s="1"/>
  <c r="J559" i="5" s="1"/>
  <c r="J543" i="5" s="1"/>
  <c r="J583" i="5"/>
  <c r="J577" i="5" s="1"/>
  <c r="I593" i="5"/>
  <c r="I592" i="5" s="1"/>
  <c r="I594" i="5"/>
  <c r="J594" i="5"/>
  <c r="J595" i="5"/>
  <c r="J596" i="5"/>
  <c r="J603" i="5"/>
  <c r="J593" i="5" s="1"/>
  <c r="J604" i="5"/>
  <c r="J611" i="5"/>
  <c r="K611" i="5"/>
  <c r="J612" i="5"/>
  <c r="K612" i="5"/>
  <c r="J613" i="5"/>
  <c r="K613" i="5"/>
  <c r="I620" i="5"/>
  <c r="K620" i="5" s="1"/>
  <c r="J620" i="5"/>
  <c r="I621" i="5"/>
  <c r="K621" i="5" s="1"/>
  <c r="J621" i="5"/>
  <c r="L630" i="5"/>
  <c r="O630" i="5" s="1"/>
  <c r="M630" i="5"/>
  <c r="N630" i="5"/>
  <c r="O633" i="5"/>
  <c r="P633" i="5"/>
  <c r="L634" i="5"/>
  <c r="M634" i="5" s="1"/>
  <c r="M632" i="5" s="1"/>
  <c r="P632" i="5" s="1"/>
  <c r="N638" i="5"/>
  <c r="N634" i="5" s="1"/>
  <c r="N632" i="5" s="1"/>
  <c r="M639" i="5"/>
  <c r="P639" i="5" s="1"/>
  <c r="N639" i="5"/>
  <c r="O640" i="5"/>
  <c r="P640" i="5"/>
  <c r="L641" i="5"/>
  <c r="L639" i="5" s="1"/>
  <c r="O639" i="5" s="1"/>
  <c r="P641" i="5"/>
  <c r="I643" i="5"/>
  <c r="K643" i="5" s="1"/>
  <c r="I644" i="5"/>
  <c r="K644" i="5" s="1"/>
  <c r="J645" i="5"/>
  <c r="K645" i="5"/>
  <c r="J646" i="5"/>
  <c r="K646" i="5"/>
  <c r="I647" i="5"/>
  <c r="J647" i="5"/>
  <c r="J648" i="5"/>
  <c r="K648" i="5"/>
  <c r="I649" i="5"/>
  <c r="J649" i="5"/>
  <c r="J650" i="5"/>
  <c r="K650" i="5"/>
  <c r="I651" i="5"/>
  <c r="I628" i="5" s="1"/>
  <c r="J651" i="5"/>
  <c r="J628" i="5" s="1"/>
  <c r="A652" i="5"/>
  <c r="J652" i="5"/>
  <c r="K652" i="5"/>
  <c r="L656" i="5"/>
  <c r="O656" i="5" s="1"/>
  <c r="M656" i="5"/>
  <c r="P656" i="5" s="1"/>
  <c r="N656" i="5"/>
  <c r="M657" i="5"/>
  <c r="M655" i="5" s="1"/>
  <c r="P655" i="5" s="1"/>
  <c r="P657" i="5"/>
  <c r="M658" i="5"/>
  <c r="P658" i="5"/>
  <c r="O659" i="5"/>
  <c r="P659" i="5"/>
  <c r="L660" i="5"/>
  <c r="L658" i="5" s="1"/>
  <c r="O658" i="5" s="1"/>
  <c r="N660" i="5"/>
  <c r="N658" i="5" s="1"/>
  <c r="P660" i="5"/>
  <c r="L665" i="5"/>
  <c r="O665" i="5" s="1"/>
  <c r="M665" i="5"/>
  <c r="N665" i="5"/>
  <c r="P665" i="5"/>
  <c r="O666" i="5"/>
  <c r="P666" i="5"/>
  <c r="O667" i="5"/>
  <c r="P667" i="5"/>
  <c r="I669" i="5"/>
  <c r="I654" i="5" s="1"/>
  <c r="K654" i="5" s="1"/>
  <c r="J669" i="5"/>
  <c r="J654" i="5" s="1"/>
  <c r="I670" i="5"/>
  <c r="K670" i="5" s="1"/>
  <c r="I671" i="5"/>
  <c r="K671" i="5" s="1"/>
  <c r="J675" i="5"/>
  <c r="I678" i="5"/>
  <c r="K678" i="5" s="1"/>
  <c r="J679" i="5"/>
  <c r="J678" i="5" s="1"/>
  <c r="L686" i="5"/>
  <c r="M686" i="5"/>
  <c r="N686" i="5"/>
  <c r="O686" i="5"/>
  <c r="P686" i="5"/>
  <c r="M687" i="5"/>
  <c r="M685" i="5" s="1"/>
  <c r="P685" i="5" s="1"/>
  <c r="M688" i="5"/>
  <c r="P688" i="5"/>
  <c r="L690" i="5"/>
  <c r="L687" i="5" s="1"/>
  <c r="O687" i="5" s="1"/>
  <c r="N690" i="5"/>
  <c r="N687" i="5" s="1"/>
  <c r="N685" i="5" s="1"/>
  <c r="P690" i="5"/>
  <c r="L695" i="5"/>
  <c r="M695" i="5"/>
  <c r="P695" i="5" s="1"/>
  <c r="N695" i="5"/>
  <c r="O695" i="5"/>
  <c r="O696" i="5"/>
  <c r="P696" i="5"/>
  <c r="O697" i="5"/>
  <c r="P697" i="5"/>
  <c r="I699" i="5"/>
  <c r="K699" i="5" s="1"/>
  <c r="J699" i="5"/>
  <c r="I700" i="5"/>
  <c r="K700" i="5" s="1"/>
  <c r="J700" i="5"/>
  <c r="I701" i="5"/>
  <c r="K701" i="5" s="1"/>
  <c r="J701" i="5"/>
  <c r="I704" i="5"/>
  <c r="I707" i="5"/>
  <c r="I708" i="5"/>
  <c r="K708" i="5" s="1"/>
  <c r="J708" i="5"/>
  <c r="J718" i="5"/>
  <c r="J719" i="5"/>
  <c r="I720" i="5"/>
  <c r="K720" i="5" s="1"/>
  <c r="J720" i="5"/>
  <c r="I721" i="5"/>
  <c r="K721" i="5" s="1"/>
  <c r="I722" i="5"/>
  <c r="K722" i="5" s="1"/>
  <c r="I723" i="5"/>
  <c r="K723" i="5" s="1"/>
  <c r="J723" i="5"/>
  <c r="J724" i="5"/>
  <c r="I725" i="5"/>
  <c r="K725" i="5" s="1"/>
  <c r="J725" i="5"/>
  <c r="I726" i="5"/>
  <c r="K726" i="5" s="1"/>
  <c r="J726" i="5"/>
  <c r="J727" i="5"/>
  <c r="I728" i="5"/>
  <c r="K728" i="5" s="1"/>
  <c r="J728" i="5"/>
  <c r="I729" i="5"/>
  <c r="K729" i="5" s="1"/>
  <c r="J729" i="5"/>
  <c r="J736" i="5"/>
  <c r="K736" i="5"/>
  <c r="L738" i="5"/>
  <c r="M738" i="5"/>
  <c r="N738" i="5"/>
  <c r="O738" i="5"/>
  <c r="L739" i="5"/>
  <c r="O739" i="5" s="1"/>
  <c r="M739" i="5"/>
  <c r="P739" i="5" s="1"/>
  <c r="L740" i="5"/>
  <c r="O740" i="5" s="1"/>
  <c r="M740" i="5"/>
  <c r="P740" i="5" s="1"/>
  <c r="O741" i="5"/>
  <c r="P741" i="5"/>
  <c r="N742" i="5"/>
  <c r="N740" i="5" s="1"/>
  <c r="O742" i="5"/>
  <c r="P742" i="5"/>
  <c r="L747" i="5"/>
  <c r="M747" i="5"/>
  <c r="P747" i="5" s="1"/>
  <c r="N747" i="5"/>
  <c r="O747" i="5"/>
  <c r="O748" i="5"/>
  <c r="P748" i="5"/>
  <c r="O749" i="5"/>
  <c r="P749" i="5"/>
  <c r="J753" i="5"/>
  <c r="K753" i="5"/>
  <c r="L755" i="5"/>
  <c r="L754" i="5" s="1"/>
  <c r="O754" i="5" s="1"/>
  <c r="M755" i="5"/>
  <c r="N755" i="5"/>
  <c r="P755" i="5"/>
  <c r="L756" i="5"/>
  <c r="O756" i="5" s="1"/>
  <c r="M756" i="5"/>
  <c r="P756" i="5" s="1"/>
  <c r="L757" i="5"/>
  <c r="O757" i="5" s="1"/>
  <c r="M757" i="5"/>
  <c r="P757" i="5" s="1"/>
  <c r="O758" i="5"/>
  <c r="P758" i="5"/>
  <c r="N759" i="5"/>
  <c r="N757" i="5" s="1"/>
  <c r="O759" i="5"/>
  <c r="P759" i="5"/>
  <c r="L764" i="5"/>
  <c r="M764" i="5"/>
  <c r="P764" i="5" s="1"/>
  <c r="N764" i="5"/>
  <c r="O764" i="5"/>
  <c r="O765" i="5"/>
  <c r="P765" i="5"/>
  <c r="O766" i="5"/>
  <c r="P766" i="5"/>
  <c r="J769" i="5"/>
  <c r="K769" i="5"/>
  <c r="L771" i="5"/>
  <c r="M771" i="5"/>
  <c r="N771" i="5"/>
  <c r="O771" i="5"/>
  <c r="L772" i="5"/>
  <c r="O772" i="5" s="1"/>
  <c r="M772" i="5"/>
  <c r="P772" i="5" s="1"/>
  <c r="L773" i="5"/>
  <c r="O773" i="5" s="1"/>
  <c r="M773" i="5"/>
  <c r="P773" i="5" s="1"/>
  <c r="O774" i="5"/>
  <c r="P774" i="5"/>
  <c r="N775" i="5"/>
  <c r="N773" i="5" s="1"/>
  <c r="O775" i="5"/>
  <c r="P775" i="5"/>
  <c r="L780" i="5"/>
  <c r="M780" i="5"/>
  <c r="P780" i="5" s="1"/>
  <c r="N780" i="5"/>
  <c r="O780" i="5"/>
  <c r="O781" i="5"/>
  <c r="P781" i="5"/>
  <c r="O782" i="5"/>
  <c r="P782" i="5"/>
  <c r="L787" i="5"/>
  <c r="O787" i="5" s="1"/>
  <c r="M787" i="5"/>
  <c r="N787" i="5"/>
  <c r="N786" i="5" s="1"/>
  <c r="P787" i="5"/>
  <c r="M788" i="5"/>
  <c r="P788" i="5" s="1"/>
  <c r="M789" i="5"/>
  <c r="P789" i="5" s="1"/>
  <c r="O790" i="5"/>
  <c r="P790" i="5"/>
  <c r="L791" i="5"/>
  <c r="O791" i="5" s="1"/>
  <c r="N791" i="5"/>
  <c r="N788" i="5" s="1"/>
  <c r="P791" i="5"/>
  <c r="L796" i="5"/>
  <c r="M796" i="5"/>
  <c r="P796" i="5" s="1"/>
  <c r="N796" i="5"/>
  <c r="O796" i="5"/>
  <c r="O797" i="5"/>
  <c r="P797" i="5"/>
  <c r="O798" i="5"/>
  <c r="P798" i="5"/>
  <c r="I800" i="5"/>
  <c r="K800" i="5" s="1"/>
  <c r="J800" i="5"/>
  <c r="J785" i="5" s="1"/>
  <c r="J801" i="5"/>
  <c r="K802" i="5"/>
  <c r="J804" i="5"/>
  <c r="K804" i="5"/>
  <c r="M805" i="5"/>
  <c r="P805" i="5" s="1"/>
  <c r="L806" i="5"/>
  <c r="M806" i="5"/>
  <c r="P806" i="5" s="1"/>
  <c r="N806" i="5"/>
  <c r="L807" i="5"/>
  <c r="O807" i="5" s="1"/>
  <c r="M807" i="5"/>
  <c r="P807" i="5"/>
  <c r="L808" i="5"/>
  <c r="O808" i="5" s="1"/>
  <c r="M808" i="5"/>
  <c r="P808" i="5" s="1"/>
  <c r="N808" i="5"/>
  <c r="O809" i="5"/>
  <c r="P809" i="5"/>
  <c r="N810" i="5"/>
  <c r="N807" i="5" s="1"/>
  <c r="O810" i="5"/>
  <c r="P810" i="5"/>
  <c r="L815" i="5"/>
  <c r="O815" i="5" s="1"/>
  <c r="M815" i="5"/>
  <c r="N815" i="5"/>
  <c r="P815" i="5"/>
  <c r="O816" i="5"/>
  <c r="P816" i="5"/>
  <c r="O817" i="5"/>
  <c r="P817" i="5"/>
  <c r="I821" i="5"/>
  <c r="J821" i="5"/>
  <c r="I822" i="5"/>
  <c r="J822" i="5"/>
  <c r="I823" i="5"/>
  <c r="K823" i="5" s="1"/>
  <c r="J823" i="5"/>
  <c r="I824" i="5"/>
  <c r="K824" i="5" s="1"/>
  <c r="J824" i="5"/>
  <c r="I825" i="5"/>
  <c r="K825" i="5" s="1"/>
  <c r="J825" i="5"/>
  <c r="I826" i="5"/>
  <c r="K826" i="5" s="1"/>
  <c r="J826" i="5"/>
  <c r="I827" i="5"/>
  <c r="J827" i="5"/>
  <c r="I828" i="5"/>
  <c r="J828" i="5"/>
  <c r="L22" i="4"/>
  <c r="M22" i="4"/>
  <c r="M12" i="4" s="1"/>
  <c r="N22" i="4"/>
  <c r="P22" i="4"/>
  <c r="L25" i="4"/>
  <c r="M25" i="4"/>
  <c r="M19" i="4" s="1"/>
  <c r="N25" i="4"/>
  <c r="N15" i="4" s="1"/>
  <c r="O25" i="4"/>
  <c r="L32" i="4"/>
  <c r="M32" i="4"/>
  <c r="N32" i="4"/>
  <c r="N29" i="4" s="1"/>
  <c r="O32" i="4"/>
  <c r="L35" i="4"/>
  <c r="L15" i="4" s="1"/>
  <c r="M35" i="4"/>
  <c r="M34" i="4" s="1"/>
  <c r="P34" i="4" s="1"/>
  <c r="N35" i="4"/>
  <c r="P35" i="4"/>
  <c r="M36" i="4"/>
  <c r="P36" i="4" s="1"/>
  <c r="N36" i="4"/>
  <c r="N34" i="4" s="1"/>
  <c r="L42" i="4"/>
  <c r="O42" i="4" s="1"/>
  <c r="M42" i="4"/>
  <c r="N42" i="4"/>
  <c r="P42" i="4"/>
  <c r="O45" i="4"/>
  <c r="P45" i="4"/>
  <c r="L46" i="4"/>
  <c r="L44" i="4" s="1"/>
  <c r="M46" i="4"/>
  <c r="M44" i="4" s="1"/>
  <c r="N46" i="4"/>
  <c r="N44" i="4" s="1"/>
  <c r="O48" i="4"/>
  <c r="P48" i="4"/>
  <c r="L49" i="4"/>
  <c r="L47" i="4" s="1"/>
  <c r="O47" i="4" s="1"/>
  <c r="M49" i="4"/>
  <c r="M47" i="4" s="1"/>
  <c r="P47" i="4" s="1"/>
  <c r="N49" i="4"/>
  <c r="N47" i="4" s="1"/>
  <c r="L54" i="4"/>
  <c r="O54" i="4" s="1"/>
  <c r="M54" i="4"/>
  <c r="N54" i="4"/>
  <c r="O57" i="4"/>
  <c r="P57" i="4"/>
  <c r="L58" i="4"/>
  <c r="M58" i="4"/>
  <c r="M56" i="4" s="1"/>
  <c r="N58" i="4"/>
  <c r="O60" i="4"/>
  <c r="P60" i="4"/>
  <c r="L61" i="4"/>
  <c r="M61" i="4"/>
  <c r="M59" i="4" s="1"/>
  <c r="N61" i="4"/>
  <c r="N59" i="4" s="1"/>
  <c r="L67" i="4"/>
  <c r="M67" i="4"/>
  <c r="P67" i="4" s="1"/>
  <c r="N67" i="4"/>
  <c r="O67" i="4"/>
  <c r="O70" i="4"/>
  <c r="P70" i="4"/>
  <c r="L71" i="4"/>
  <c r="M71" i="4"/>
  <c r="M69" i="4" s="1"/>
  <c r="P69" i="4" s="1"/>
  <c r="N71" i="4"/>
  <c r="N69" i="4" s="1"/>
  <c r="O73" i="4"/>
  <c r="P73" i="4"/>
  <c r="L74" i="4"/>
  <c r="L72" i="4" s="1"/>
  <c r="O72" i="4" s="1"/>
  <c r="M74" i="4"/>
  <c r="M72" i="4" s="1"/>
  <c r="P72" i="4" s="1"/>
  <c r="N74" i="4"/>
  <c r="N72" i="4" s="1"/>
  <c r="J76" i="4"/>
  <c r="J64" i="4" s="1"/>
  <c r="J77" i="4"/>
  <c r="J65" i="4" s="1"/>
  <c r="I78" i="4"/>
  <c r="I79" i="4"/>
  <c r="K79" i="4" s="1"/>
  <c r="I80" i="4"/>
  <c r="K80" i="4" s="1"/>
  <c r="I81" i="4"/>
  <c r="K81" i="4" s="1"/>
  <c r="I82" i="4"/>
  <c r="K82" i="4" s="1"/>
  <c r="I83" i="4"/>
  <c r="K83" i="4" s="1"/>
  <c r="I84" i="4"/>
  <c r="K84" i="4" s="1"/>
  <c r="L89" i="4"/>
  <c r="M89" i="4"/>
  <c r="N89" i="4"/>
  <c r="P89" i="4"/>
  <c r="O92" i="4"/>
  <c r="P92" i="4"/>
  <c r="L93" i="4"/>
  <c r="M93" i="4"/>
  <c r="M91" i="4" s="1"/>
  <c r="N93" i="4"/>
  <c r="N91" i="4" s="1"/>
  <c r="O95" i="4"/>
  <c r="P95" i="4"/>
  <c r="L96" i="4"/>
  <c r="O96" i="4" s="1"/>
  <c r="M96" i="4"/>
  <c r="M94" i="4" s="1"/>
  <c r="P94" i="4" s="1"/>
  <c r="N96" i="4"/>
  <c r="N94" i="4" s="1"/>
  <c r="I98" i="4"/>
  <c r="I86" i="4" s="1"/>
  <c r="J98" i="4"/>
  <c r="I99" i="4"/>
  <c r="I87" i="4" s="1"/>
  <c r="J99" i="4"/>
  <c r="I100" i="4"/>
  <c r="J100" i="4"/>
  <c r="I102" i="4"/>
  <c r="K102" i="4" s="1"/>
  <c r="I103" i="4"/>
  <c r="K103" i="4" s="1"/>
  <c r="I104" i="4"/>
  <c r="K104" i="4" s="1"/>
  <c r="I106" i="4"/>
  <c r="K106" i="4" s="1"/>
  <c r="I107" i="4"/>
  <c r="K107" i="4" s="1"/>
  <c r="I109" i="4"/>
  <c r="K109" i="4" s="1"/>
  <c r="I110" i="4"/>
  <c r="K110" i="4" s="1"/>
  <c r="I111" i="4"/>
  <c r="J111" i="4"/>
  <c r="J112" i="4"/>
  <c r="I113" i="4"/>
  <c r="K113" i="4" s="1"/>
  <c r="I114" i="4"/>
  <c r="K114" i="4" s="1"/>
  <c r="I115" i="4"/>
  <c r="K115" i="4" s="1"/>
  <c r="I116" i="4"/>
  <c r="K118" i="4"/>
  <c r="L120" i="4"/>
  <c r="M120" i="4"/>
  <c r="N120" i="4"/>
  <c r="O123" i="4"/>
  <c r="P123" i="4"/>
  <c r="L124" i="4"/>
  <c r="O124" i="4" s="1"/>
  <c r="M124" i="4"/>
  <c r="N124" i="4"/>
  <c r="N122" i="4" s="1"/>
  <c r="O126" i="4"/>
  <c r="P126" i="4"/>
  <c r="L127" i="4"/>
  <c r="O127" i="4" s="1"/>
  <c r="M127" i="4"/>
  <c r="P127" i="4" s="1"/>
  <c r="N127" i="4"/>
  <c r="N125" i="4" s="1"/>
  <c r="J130" i="4"/>
  <c r="L133" i="4"/>
  <c r="M133" i="4"/>
  <c r="N133" i="4"/>
  <c r="O136" i="4"/>
  <c r="P136" i="4"/>
  <c r="L137" i="4"/>
  <c r="L135" i="4" s="1"/>
  <c r="M137" i="4"/>
  <c r="M135" i="4" s="1"/>
  <c r="N137" i="4"/>
  <c r="O139" i="4"/>
  <c r="P139" i="4"/>
  <c r="L140" i="4"/>
  <c r="L138" i="4" s="1"/>
  <c r="M140" i="4"/>
  <c r="M138" i="4" s="1"/>
  <c r="N140" i="4"/>
  <c r="I144" i="4"/>
  <c r="I145" i="4"/>
  <c r="I143" i="4" s="1"/>
  <c r="I146" i="4"/>
  <c r="K146" i="4" s="1"/>
  <c r="J148" i="4"/>
  <c r="L150" i="4"/>
  <c r="M150" i="4"/>
  <c r="N150" i="4"/>
  <c r="P150" i="4"/>
  <c r="O153" i="4"/>
  <c r="P153" i="4"/>
  <c r="L154" i="4"/>
  <c r="M154" i="4"/>
  <c r="N154" i="4"/>
  <c r="N152" i="4" s="1"/>
  <c r="O156" i="4"/>
  <c r="P156" i="4"/>
  <c r="L157" i="4"/>
  <c r="O157" i="4" s="1"/>
  <c r="M157" i="4"/>
  <c r="N157" i="4"/>
  <c r="N155" i="4" s="1"/>
  <c r="I159" i="4"/>
  <c r="L166" i="4"/>
  <c r="O166" i="4" s="1"/>
  <c r="M166" i="4"/>
  <c r="N166" i="4"/>
  <c r="P166" i="4"/>
  <c r="O169" i="4"/>
  <c r="P169" i="4"/>
  <c r="L170" i="4"/>
  <c r="M170" i="4"/>
  <c r="M168" i="4" s="1"/>
  <c r="N170" i="4"/>
  <c r="N168" i="4" s="1"/>
  <c r="O172" i="4"/>
  <c r="P172" i="4"/>
  <c r="L173" i="4"/>
  <c r="L171" i="4" s="1"/>
  <c r="O171" i="4" s="1"/>
  <c r="M173" i="4"/>
  <c r="P173" i="4" s="1"/>
  <c r="N173" i="4"/>
  <c r="N171" i="4" s="1"/>
  <c r="J174" i="4"/>
  <c r="I176" i="4"/>
  <c r="J177" i="4"/>
  <c r="L182" i="4"/>
  <c r="M182" i="4"/>
  <c r="P182" i="4" s="1"/>
  <c r="N182" i="4"/>
  <c r="O182" i="4"/>
  <c r="O185" i="4"/>
  <c r="P185" i="4"/>
  <c r="L186" i="4"/>
  <c r="M186" i="4"/>
  <c r="N186" i="4"/>
  <c r="N184" i="4" s="1"/>
  <c r="O188" i="4"/>
  <c r="P188" i="4"/>
  <c r="L189" i="4"/>
  <c r="O189" i="4" s="1"/>
  <c r="M189" i="4"/>
  <c r="M187" i="4" s="1"/>
  <c r="P187" i="4" s="1"/>
  <c r="N189" i="4"/>
  <c r="N187" i="4" s="1"/>
  <c r="J190" i="4"/>
  <c r="L191" i="4"/>
  <c r="O191" i="4" s="1"/>
  <c r="P191" i="4"/>
  <c r="I193" i="4"/>
  <c r="K193" i="4" s="1"/>
  <c r="J194" i="4"/>
  <c r="J197" i="4"/>
  <c r="N198" i="4"/>
  <c r="P198" i="4"/>
  <c r="L199" i="4"/>
  <c r="L200" i="4"/>
  <c r="L201" i="4"/>
  <c r="L202" i="4"/>
  <c r="I204" i="4"/>
  <c r="I197" i="4" s="1"/>
  <c r="K206" i="4"/>
  <c r="K207" i="4"/>
  <c r="J208" i="4"/>
  <c r="N209" i="4"/>
  <c r="P209" i="4"/>
  <c r="L210" i="4"/>
  <c r="L211" i="4"/>
  <c r="L212" i="4"/>
  <c r="I214" i="4"/>
  <c r="K214" i="4" s="1"/>
  <c r="I215" i="4"/>
  <c r="I208" i="4" s="1"/>
  <c r="K208" i="4" s="1"/>
  <c r="J216" i="4"/>
  <c r="N217" i="4"/>
  <c r="P217" i="4"/>
  <c r="L218" i="4"/>
  <c r="L219" i="4"/>
  <c r="L220" i="4"/>
  <c r="I223" i="4"/>
  <c r="K223" i="4" s="1"/>
  <c r="I224" i="4"/>
  <c r="I216" i="4" s="1"/>
  <c r="K216" i="4" s="1"/>
  <c r="I225" i="4"/>
  <c r="K225" i="4" s="1"/>
  <c r="N228" i="4"/>
  <c r="N229" i="4"/>
  <c r="N230" i="4"/>
  <c r="N231" i="4"/>
  <c r="J233" i="4"/>
  <c r="I235" i="4"/>
  <c r="J235" i="4"/>
  <c r="K235" i="4" s="1"/>
  <c r="I236" i="4"/>
  <c r="J236" i="4"/>
  <c r="J237" i="4"/>
  <c r="J226" i="4" s="1"/>
  <c r="J180" i="4" s="1"/>
  <c r="N238" i="4"/>
  <c r="N227" i="4" s="1"/>
  <c r="P238" i="4"/>
  <c r="L239" i="4"/>
  <c r="L240" i="4"/>
  <c r="L241" i="4"/>
  <c r="L242" i="4"/>
  <c r="I244" i="4"/>
  <c r="K244" i="4" s="1"/>
  <c r="K246" i="4"/>
  <c r="K247" i="4"/>
  <c r="J248" i="4"/>
  <c r="N249" i="4"/>
  <c r="P249" i="4"/>
  <c r="L250" i="4"/>
  <c r="L251" i="4"/>
  <c r="L252" i="4"/>
  <c r="L253" i="4"/>
  <c r="I255" i="4"/>
  <c r="K257" i="4"/>
  <c r="K258" i="4"/>
  <c r="J260" i="4"/>
  <c r="L262" i="4"/>
  <c r="O262" i="4" s="1"/>
  <c r="M262" i="4"/>
  <c r="P262" i="4" s="1"/>
  <c r="N262" i="4"/>
  <c r="O265" i="4"/>
  <c r="P265" i="4"/>
  <c r="L266" i="4"/>
  <c r="M266" i="4"/>
  <c r="N266" i="4"/>
  <c r="N264" i="4" s="1"/>
  <c r="O268" i="4"/>
  <c r="P268" i="4"/>
  <c r="L269" i="4"/>
  <c r="O269" i="4" s="1"/>
  <c r="M269" i="4"/>
  <c r="P269" i="4" s="1"/>
  <c r="N269" i="4"/>
  <c r="I271" i="4"/>
  <c r="I260" i="4" s="1"/>
  <c r="K260" i="4" s="1"/>
  <c r="J276" i="4"/>
  <c r="L278" i="4"/>
  <c r="M278" i="4"/>
  <c r="N278" i="4"/>
  <c r="O281" i="4"/>
  <c r="P281" i="4"/>
  <c r="L282" i="4"/>
  <c r="M282" i="4"/>
  <c r="M280" i="4" s="1"/>
  <c r="N282" i="4"/>
  <c r="N280" i="4" s="1"/>
  <c r="O284" i="4"/>
  <c r="P284" i="4"/>
  <c r="L285" i="4"/>
  <c r="L283" i="4" s="1"/>
  <c r="O283" i="4" s="1"/>
  <c r="M285" i="4"/>
  <c r="N285" i="4"/>
  <c r="N283" i="4" s="1"/>
  <c r="I287" i="4"/>
  <c r="I276" i="4" s="1"/>
  <c r="I288" i="4"/>
  <c r="I275" i="4" s="1"/>
  <c r="I290" i="4"/>
  <c r="K290" i="4" s="1"/>
  <c r="I291" i="4"/>
  <c r="K291" i="4" s="1"/>
  <c r="I293" i="4"/>
  <c r="K293" i="4" s="1"/>
  <c r="I294" i="4"/>
  <c r="K294" i="4" s="1"/>
  <c r="J297" i="4"/>
  <c r="L299" i="4"/>
  <c r="O299" i="4" s="1"/>
  <c r="M299" i="4"/>
  <c r="P299" i="4" s="1"/>
  <c r="N299" i="4"/>
  <c r="O302" i="4"/>
  <c r="P302" i="4"/>
  <c r="L303" i="4"/>
  <c r="L301" i="4" s="1"/>
  <c r="M303" i="4"/>
  <c r="M301" i="4" s="1"/>
  <c r="N303" i="4"/>
  <c r="O305" i="4"/>
  <c r="P305" i="4"/>
  <c r="L306" i="4"/>
  <c r="L304" i="4" s="1"/>
  <c r="O304" i="4" s="1"/>
  <c r="M306" i="4"/>
  <c r="M304" i="4" s="1"/>
  <c r="P304" i="4" s="1"/>
  <c r="N306" i="4"/>
  <c r="N304" i="4" s="1"/>
  <c r="I309" i="4"/>
  <c r="I297" i="4" s="1"/>
  <c r="K297" i="4" s="1"/>
  <c r="I310" i="4"/>
  <c r="K310" i="4" s="1"/>
  <c r="I311" i="4"/>
  <c r="K311" i="4" s="1"/>
  <c r="I312" i="4"/>
  <c r="K312" i="4" s="1"/>
  <c r="J314" i="4"/>
  <c r="L316" i="4"/>
  <c r="M316" i="4"/>
  <c r="P316" i="4" s="1"/>
  <c r="N316" i="4"/>
  <c r="O319" i="4"/>
  <c r="P319" i="4"/>
  <c r="L320" i="4"/>
  <c r="M320" i="4"/>
  <c r="P320" i="4" s="1"/>
  <c r="N320" i="4"/>
  <c r="N318" i="4" s="1"/>
  <c r="O322" i="4"/>
  <c r="P322" i="4"/>
  <c r="L323" i="4"/>
  <c r="M323" i="4"/>
  <c r="P323" i="4" s="1"/>
  <c r="N323" i="4"/>
  <c r="N321" i="4" s="1"/>
  <c r="I325" i="4"/>
  <c r="I314" i="4" s="1"/>
  <c r="K314" i="4" s="1"/>
  <c r="I327" i="4"/>
  <c r="L329" i="4"/>
  <c r="O329" i="4" s="1"/>
  <c r="M329" i="4"/>
  <c r="N329" i="4"/>
  <c r="P329" i="4"/>
  <c r="O332" i="4"/>
  <c r="P332" i="4"/>
  <c r="L333" i="4"/>
  <c r="M333" i="4"/>
  <c r="M331" i="4" s="1"/>
  <c r="N333" i="4"/>
  <c r="N331" i="4" s="1"/>
  <c r="O335" i="4"/>
  <c r="P335" i="4"/>
  <c r="L336" i="4"/>
  <c r="L334" i="4" s="1"/>
  <c r="M336" i="4"/>
  <c r="M334" i="4" s="1"/>
  <c r="N336" i="4"/>
  <c r="N334" i="4" s="1"/>
  <c r="D337" i="4"/>
  <c r="I338" i="4"/>
  <c r="J338" i="4"/>
  <c r="I340" i="4"/>
  <c r="J340" i="4"/>
  <c r="J341" i="4"/>
  <c r="J342" i="4"/>
  <c r="J343" i="4"/>
  <c r="L346" i="4"/>
  <c r="O346" i="4" s="1"/>
  <c r="M346" i="4"/>
  <c r="N346" i="4"/>
  <c r="P346" i="4"/>
  <c r="O349" i="4"/>
  <c r="P349" i="4"/>
  <c r="L350" i="4"/>
  <c r="L348" i="4" s="1"/>
  <c r="M350" i="4"/>
  <c r="M348" i="4" s="1"/>
  <c r="N350" i="4"/>
  <c r="O352" i="4"/>
  <c r="P352" i="4"/>
  <c r="L353" i="4"/>
  <c r="L351" i="4" s="1"/>
  <c r="M353" i="4"/>
  <c r="M351" i="4" s="1"/>
  <c r="N353" i="4"/>
  <c r="N351" i="4" s="1"/>
  <c r="I355" i="4"/>
  <c r="J358" i="4"/>
  <c r="K358" i="4"/>
  <c r="I359" i="4"/>
  <c r="J359" i="4"/>
  <c r="I360" i="4"/>
  <c r="J360" i="4"/>
  <c r="J361" i="4"/>
  <c r="K361" i="4"/>
  <c r="I362" i="4"/>
  <c r="J362" i="4"/>
  <c r="J355" i="4" s="1"/>
  <c r="J363" i="4"/>
  <c r="K363" i="4"/>
  <c r="I365" i="4"/>
  <c r="J368" i="4"/>
  <c r="K368" i="4"/>
  <c r="I369" i="4"/>
  <c r="J369" i="4"/>
  <c r="I370" i="4"/>
  <c r="J370" i="4"/>
  <c r="J371" i="4"/>
  <c r="K371" i="4"/>
  <c r="I372" i="4"/>
  <c r="J372" i="4"/>
  <c r="J365" i="4" s="1"/>
  <c r="A373" i="4"/>
  <c r="J373" i="4"/>
  <c r="K373" i="4"/>
  <c r="I374" i="4"/>
  <c r="J377" i="4"/>
  <c r="K377" i="4"/>
  <c r="I378" i="4"/>
  <c r="J378" i="4"/>
  <c r="I379" i="4"/>
  <c r="J379" i="4"/>
  <c r="J380" i="4"/>
  <c r="K380" i="4"/>
  <c r="I381" i="4"/>
  <c r="J381" i="4"/>
  <c r="J374" i="4" s="1"/>
  <c r="A382" i="4"/>
  <c r="J382" i="4"/>
  <c r="K382" i="4"/>
  <c r="D384" i="4"/>
  <c r="I385" i="4"/>
  <c r="J385" i="4"/>
  <c r="I388" i="4"/>
  <c r="K388" i="4" s="1"/>
  <c r="J388" i="4"/>
  <c r="L390" i="4"/>
  <c r="M390" i="4"/>
  <c r="P390" i="4" s="1"/>
  <c r="N390" i="4"/>
  <c r="O393" i="4"/>
  <c r="P393" i="4"/>
  <c r="L394" i="4"/>
  <c r="M394" i="4"/>
  <c r="P394" i="4" s="1"/>
  <c r="N394" i="4"/>
  <c r="N392" i="4" s="1"/>
  <c r="O396" i="4"/>
  <c r="P396" i="4"/>
  <c r="L397" i="4"/>
  <c r="M397" i="4"/>
  <c r="P397" i="4" s="1"/>
  <c r="N397" i="4"/>
  <c r="N395" i="4" s="1"/>
  <c r="K399" i="4"/>
  <c r="K400" i="4"/>
  <c r="I401" i="4"/>
  <c r="K401" i="4" s="1"/>
  <c r="J401" i="4"/>
  <c r="L403" i="4"/>
  <c r="M403" i="4"/>
  <c r="P403" i="4" s="1"/>
  <c r="N403" i="4"/>
  <c r="O403" i="4"/>
  <c r="O406" i="4"/>
  <c r="P406" i="4"/>
  <c r="L407" i="4"/>
  <c r="M407" i="4"/>
  <c r="M405" i="4" s="1"/>
  <c r="P405" i="4" s="1"/>
  <c r="N407" i="4"/>
  <c r="N405" i="4" s="1"/>
  <c r="O409" i="4"/>
  <c r="P409" i="4"/>
  <c r="L410" i="4"/>
  <c r="O410" i="4" s="1"/>
  <c r="M410" i="4"/>
  <c r="M408" i="4" s="1"/>
  <c r="P408" i="4" s="1"/>
  <c r="N410" i="4"/>
  <c r="N408" i="4" s="1"/>
  <c r="K412" i="4"/>
  <c r="K413" i="4"/>
  <c r="J418" i="4"/>
  <c r="L420" i="4"/>
  <c r="M420" i="4"/>
  <c r="P420" i="4" s="1"/>
  <c r="N420" i="4"/>
  <c r="O423" i="4"/>
  <c r="P423" i="4"/>
  <c r="L424" i="4"/>
  <c r="M424" i="4" s="1"/>
  <c r="N424" i="4"/>
  <c r="N421" i="4" s="1"/>
  <c r="M429" i="4"/>
  <c r="P429" i="4" s="1"/>
  <c r="N429" i="4"/>
  <c r="O430" i="4"/>
  <c r="P430" i="4"/>
  <c r="L431" i="4"/>
  <c r="O431" i="4" s="1"/>
  <c r="P431" i="4"/>
  <c r="J434" i="4"/>
  <c r="I435" i="4"/>
  <c r="I433" i="4" s="1"/>
  <c r="I437" i="4"/>
  <c r="K437" i="4" s="1"/>
  <c r="I438" i="4"/>
  <c r="K438" i="4" s="1"/>
  <c r="I439" i="4"/>
  <c r="K439" i="4" s="1"/>
  <c r="I440" i="4"/>
  <c r="K440" i="4" s="1"/>
  <c r="I441" i="4"/>
  <c r="K441" i="4" s="1"/>
  <c r="J442" i="4"/>
  <c r="J443" i="4"/>
  <c r="L445" i="4"/>
  <c r="O445" i="4" s="1"/>
  <c r="M445" i="4"/>
  <c r="P445" i="4" s="1"/>
  <c r="N445" i="4"/>
  <c r="O448" i="4"/>
  <c r="P448" i="4"/>
  <c r="L449" i="4"/>
  <c r="L447" i="4" s="1"/>
  <c r="N449" i="4"/>
  <c r="N447" i="4" s="1"/>
  <c r="M454" i="4"/>
  <c r="P454" i="4" s="1"/>
  <c r="N454" i="4"/>
  <c r="O455" i="4"/>
  <c r="P455" i="4"/>
  <c r="L456" i="4"/>
  <c r="O456" i="4" s="1"/>
  <c r="P456" i="4"/>
  <c r="K458" i="4"/>
  <c r="I460" i="4"/>
  <c r="K460" i="4" s="1"/>
  <c r="I462" i="4"/>
  <c r="K462" i="4" s="1"/>
  <c r="I463" i="4"/>
  <c r="I464" i="4"/>
  <c r="I465" i="4"/>
  <c r="K465" i="4" s="1"/>
  <c r="J465" i="4"/>
  <c r="I466" i="4"/>
  <c r="K466" i="4" s="1"/>
  <c r="J466" i="4"/>
  <c r="L468" i="4"/>
  <c r="M468" i="4"/>
  <c r="N468" i="4"/>
  <c r="O468" i="4"/>
  <c r="P468" i="4"/>
  <c r="O471" i="4"/>
  <c r="P471" i="4"/>
  <c r="L472" i="4"/>
  <c r="L470" i="4" s="1"/>
  <c r="N476" i="4"/>
  <c r="N472" i="4" s="1"/>
  <c r="M477" i="4"/>
  <c r="P477" i="4" s="1"/>
  <c r="N477" i="4"/>
  <c r="O478" i="4"/>
  <c r="P478" i="4"/>
  <c r="L479" i="4"/>
  <c r="P479" i="4"/>
  <c r="I483" i="4"/>
  <c r="K483" i="4" s="1"/>
  <c r="I485" i="4"/>
  <c r="K485" i="4" s="1"/>
  <c r="I487" i="4"/>
  <c r="K487" i="4" s="1"/>
  <c r="I489" i="4"/>
  <c r="K489" i="4" s="1"/>
  <c r="I492" i="4"/>
  <c r="K492" i="4" s="1"/>
  <c r="I495" i="4"/>
  <c r="K495" i="4" s="1"/>
  <c r="I498" i="4"/>
  <c r="K498" i="4" s="1"/>
  <c r="J500" i="4"/>
  <c r="K500" i="4"/>
  <c r="K501" i="4"/>
  <c r="L503" i="4"/>
  <c r="L502" i="4" s="1"/>
  <c r="O502" i="4" s="1"/>
  <c r="M503" i="4"/>
  <c r="N503" i="4"/>
  <c r="N502" i="4" s="1"/>
  <c r="P503" i="4"/>
  <c r="L504" i="4"/>
  <c r="O504" i="4" s="1"/>
  <c r="M504" i="4"/>
  <c r="P504" i="4" s="1"/>
  <c r="N504" i="4"/>
  <c r="L505" i="4"/>
  <c r="O505" i="4" s="1"/>
  <c r="M505" i="4"/>
  <c r="P505" i="4" s="1"/>
  <c r="O506" i="4"/>
  <c r="P506" i="4"/>
  <c r="N507" i="4"/>
  <c r="N505" i="4" s="1"/>
  <c r="O507" i="4"/>
  <c r="P507" i="4"/>
  <c r="L512" i="4"/>
  <c r="O512" i="4" s="1"/>
  <c r="M512" i="4"/>
  <c r="P512" i="4" s="1"/>
  <c r="N512" i="4"/>
  <c r="O513" i="4"/>
  <c r="P513" i="4"/>
  <c r="O514" i="4"/>
  <c r="P514" i="4"/>
  <c r="K516" i="4"/>
  <c r="J517" i="4"/>
  <c r="J501" i="4" s="1"/>
  <c r="K517" i="4"/>
  <c r="L524" i="4"/>
  <c r="O524" i="4" s="1"/>
  <c r="M524" i="4"/>
  <c r="M523" i="4" s="1"/>
  <c r="P523" i="4" s="1"/>
  <c r="N524" i="4"/>
  <c r="N523" i="4" s="1"/>
  <c r="M525" i="4"/>
  <c r="P525" i="4"/>
  <c r="M526" i="4"/>
  <c r="P526" i="4" s="1"/>
  <c r="O527" i="4"/>
  <c r="P527" i="4"/>
  <c r="L528" i="4"/>
  <c r="N528" i="4"/>
  <c r="N525" i="4" s="1"/>
  <c r="P528" i="4"/>
  <c r="M533" i="4"/>
  <c r="P533" i="4" s="1"/>
  <c r="N533" i="4"/>
  <c r="O534" i="4"/>
  <c r="P534" i="4"/>
  <c r="L535" i="4"/>
  <c r="L533" i="4" s="1"/>
  <c r="O533" i="4" s="1"/>
  <c r="P535" i="4"/>
  <c r="I537" i="4"/>
  <c r="K537" i="4" s="1"/>
  <c r="I538" i="4"/>
  <c r="K538" i="4" s="1"/>
  <c r="I539" i="4"/>
  <c r="K539" i="4" s="1"/>
  <c r="I540" i="4"/>
  <c r="K540" i="4" s="1"/>
  <c r="I541" i="4"/>
  <c r="K541" i="4" s="1"/>
  <c r="I542" i="4"/>
  <c r="K542" i="4" s="1"/>
  <c r="L545" i="4"/>
  <c r="O545" i="4" s="1"/>
  <c r="N545" i="4"/>
  <c r="O548" i="4"/>
  <c r="P548" i="4"/>
  <c r="L549" i="4"/>
  <c r="M549" i="4" s="1"/>
  <c r="M547" i="4" s="1"/>
  <c r="N553" i="4"/>
  <c r="N549" i="4" s="1"/>
  <c r="M555" i="4"/>
  <c r="P555" i="4" s="1"/>
  <c r="N555" i="4"/>
  <c r="O556" i="4"/>
  <c r="P556" i="4"/>
  <c r="L557" i="4"/>
  <c r="L546" i="4" s="1"/>
  <c r="P557" i="4"/>
  <c r="I560" i="4"/>
  <c r="K560" i="4" s="1"/>
  <c r="J560" i="4"/>
  <c r="I561" i="4"/>
  <c r="K561" i="4" s="1"/>
  <c r="J561" i="4"/>
  <c r="I568" i="4"/>
  <c r="K568" i="4" s="1"/>
  <c r="J568" i="4"/>
  <c r="I569" i="4"/>
  <c r="K569" i="4" s="1"/>
  <c r="J569" i="4"/>
  <c r="I576" i="4"/>
  <c r="I559" i="4" s="1"/>
  <c r="I543" i="4" s="1"/>
  <c r="K543" i="4" s="1"/>
  <c r="J576" i="4"/>
  <c r="J559" i="4" s="1"/>
  <c r="J543" i="4" s="1"/>
  <c r="I577" i="4"/>
  <c r="K577" i="4" s="1"/>
  <c r="J582" i="4"/>
  <c r="J583" i="4"/>
  <c r="J577" i="4" s="1"/>
  <c r="I593" i="4"/>
  <c r="I592" i="4" s="1"/>
  <c r="I594" i="4"/>
  <c r="J595" i="4"/>
  <c r="J596" i="4"/>
  <c r="J603" i="4"/>
  <c r="J604" i="4"/>
  <c r="J611" i="4"/>
  <c r="K611" i="4"/>
  <c r="J612" i="4"/>
  <c r="K612" i="4"/>
  <c r="J613" i="4"/>
  <c r="K613" i="4"/>
  <c r="I620" i="4"/>
  <c r="K620" i="4" s="1"/>
  <c r="J620" i="4"/>
  <c r="I621" i="4"/>
  <c r="K621" i="4" s="1"/>
  <c r="J621" i="4"/>
  <c r="L630" i="4"/>
  <c r="M630" i="4"/>
  <c r="P630" i="4" s="1"/>
  <c r="N630" i="4"/>
  <c r="O630" i="4"/>
  <c r="M631" i="4"/>
  <c r="M629" i="4" s="1"/>
  <c r="P629" i="4" s="1"/>
  <c r="P631" i="4"/>
  <c r="M632" i="4"/>
  <c r="P632" i="4" s="1"/>
  <c r="O633" i="4"/>
  <c r="P633" i="4"/>
  <c r="L634" i="4"/>
  <c r="N634" i="4"/>
  <c r="N631" i="4" s="1"/>
  <c r="N629" i="4" s="1"/>
  <c r="P634" i="4"/>
  <c r="M639" i="4"/>
  <c r="P639" i="4" s="1"/>
  <c r="N639" i="4"/>
  <c r="O640" i="4"/>
  <c r="P640" i="4"/>
  <c r="L641" i="4"/>
  <c r="O641" i="4" s="1"/>
  <c r="P641" i="4"/>
  <c r="I643" i="4"/>
  <c r="K643" i="4" s="1"/>
  <c r="I644" i="4"/>
  <c r="K644" i="4" s="1"/>
  <c r="J645" i="4"/>
  <c r="K645" i="4"/>
  <c r="J646" i="4"/>
  <c r="K646" i="4"/>
  <c r="I647" i="4"/>
  <c r="K647" i="4" s="1"/>
  <c r="J647" i="4"/>
  <c r="J648" i="4"/>
  <c r="K648" i="4"/>
  <c r="I649" i="4"/>
  <c r="K649" i="4" s="1"/>
  <c r="J649" i="4"/>
  <c r="J650" i="4"/>
  <c r="K650" i="4"/>
  <c r="I651" i="4"/>
  <c r="I628" i="4" s="1"/>
  <c r="K628" i="4" s="1"/>
  <c r="J651" i="4"/>
  <c r="J628" i="4" s="1"/>
  <c r="J652" i="4"/>
  <c r="K652" i="4"/>
  <c r="L656" i="4"/>
  <c r="O656" i="4" s="1"/>
  <c r="M656" i="4"/>
  <c r="P656" i="4" s="1"/>
  <c r="N656" i="4"/>
  <c r="O659" i="4"/>
  <c r="P659" i="4"/>
  <c r="L660" i="4"/>
  <c r="M660" i="4" s="1"/>
  <c r="M657" i="4" s="1"/>
  <c r="N664" i="4"/>
  <c r="N660" i="4" s="1"/>
  <c r="L665" i="4"/>
  <c r="O665" i="4" s="1"/>
  <c r="M665" i="4"/>
  <c r="P665" i="4" s="1"/>
  <c r="N665" i="4"/>
  <c r="O666" i="4"/>
  <c r="P666" i="4"/>
  <c r="O667" i="4"/>
  <c r="P667" i="4"/>
  <c r="I669" i="4"/>
  <c r="K672" i="4" s="1"/>
  <c r="I670" i="4"/>
  <c r="K670" i="4" s="1"/>
  <c r="I671" i="4"/>
  <c r="K671" i="4" s="1"/>
  <c r="J675" i="4"/>
  <c r="J669" i="4" s="1"/>
  <c r="I678" i="4"/>
  <c r="K678" i="4" s="1"/>
  <c r="J679" i="4"/>
  <c r="J678" i="4" s="1"/>
  <c r="L686" i="4"/>
  <c r="O686" i="4" s="1"/>
  <c r="M686" i="4"/>
  <c r="N686" i="4"/>
  <c r="P686" i="4"/>
  <c r="L690" i="4"/>
  <c r="L687" i="4" s="1"/>
  <c r="N690" i="4"/>
  <c r="N688" i="4" s="1"/>
  <c r="L695" i="4"/>
  <c r="M695" i="4"/>
  <c r="N695" i="4"/>
  <c r="O695" i="4"/>
  <c r="P695" i="4"/>
  <c r="O696" i="4"/>
  <c r="P696" i="4"/>
  <c r="O697" i="4"/>
  <c r="P697" i="4"/>
  <c r="I699" i="4"/>
  <c r="K699" i="4" s="1"/>
  <c r="J699" i="4"/>
  <c r="I700" i="4"/>
  <c r="K700" i="4" s="1"/>
  <c r="J700" i="4"/>
  <c r="I701" i="4"/>
  <c r="J701" i="4"/>
  <c r="I704" i="4"/>
  <c r="I707" i="4"/>
  <c r="I708" i="4"/>
  <c r="J708" i="4"/>
  <c r="J718" i="4"/>
  <c r="J719" i="4"/>
  <c r="I720" i="4"/>
  <c r="J720" i="4"/>
  <c r="I721" i="4"/>
  <c r="I722" i="4"/>
  <c r="I723" i="4"/>
  <c r="J723" i="4"/>
  <c r="J724" i="4"/>
  <c r="I725" i="4"/>
  <c r="J725" i="4"/>
  <c r="I726" i="4"/>
  <c r="J726" i="4"/>
  <c r="J727" i="4"/>
  <c r="I728" i="4"/>
  <c r="J728" i="4"/>
  <c r="I729" i="4"/>
  <c r="J729" i="4"/>
  <c r="J736" i="4"/>
  <c r="K736" i="4"/>
  <c r="L738" i="4"/>
  <c r="O738" i="4" s="1"/>
  <c r="M738" i="4"/>
  <c r="P738" i="4" s="1"/>
  <c r="N738" i="4"/>
  <c r="L739" i="4"/>
  <c r="O739" i="4" s="1"/>
  <c r="M739" i="4"/>
  <c r="P739" i="4" s="1"/>
  <c r="L740" i="4"/>
  <c r="O740" i="4" s="1"/>
  <c r="M740" i="4"/>
  <c r="P740" i="4" s="1"/>
  <c r="O741" i="4"/>
  <c r="P741" i="4"/>
  <c r="N742" i="4"/>
  <c r="N739" i="4" s="1"/>
  <c r="O742" i="4"/>
  <c r="P742" i="4"/>
  <c r="L747" i="4"/>
  <c r="O747" i="4" s="1"/>
  <c r="M747" i="4"/>
  <c r="N747" i="4"/>
  <c r="P747" i="4"/>
  <c r="O748" i="4"/>
  <c r="P748" i="4"/>
  <c r="O749" i="4"/>
  <c r="P749" i="4"/>
  <c r="J753" i="4"/>
  <c r="K753" i="4"/>
  <c r="L755" i="4"/>
  <c r="O755" i="4" s="1"/>
  <c r="M755" i="4"/>
  <c r="M754" i="4" s="1"/>
  <c r="P754" i="4" s="1"/>
  <c r="N755" i="4"/>
  <c r="L756" i="4"/>
  <c r="O756" i="4" s="1"/>
  <c r="M756" i="4"/>
  <c r="P756" i="4" s="1"/>
  <c r="L757" i="4"/>
  <c r="O757" i="4" s="1"/>
  <c r="M757" i="4"/>
  <c r="P757" i="4"/>
  <c r="O758" i="4"/>
  <c r="P758" i="4"/>
  <c r="N759" i="4"/>
  <c r="N756" i="4" s="1"/>
  <c r="O759" i="4"/>
  <c r="P759" i="4"/>
  <c r="L764" i="4"/>
  <c r="O764" i="4" s="1"/>
  <c r="M764" i="4"/>
  <c r="N764" i="4"/>
  <c r="P764" i="4"/>
  <c r="O765" i="4"/>
  <c r="P765" i="4"/>
  <c r="O766" i="4"/>
  <c r="P766" i="4"/>
  <c r="J769" i="4"/>
  <c r="K769" i="4"/>
  <c r="L771" i="4"/>
  <c r="O771" i="4" s="1"/>
  <c r="M771" i="4"/>
  <c r="P771" i="4" s="1"/>
  <c r="N771" i="4"/>
  <c r="L772" i="4"/>
  <c r="O772" i="4" s="1"/>
  <c r="M772" i="4"/>
  <c r="P772" i="4" s="1"/>
  <c r="L773" i="4"/>
  <c r="O773" i="4" s="1"/>
  <c r="M773" i="4"/>
  <c r="P773" i="4" s="1"/>
  <c r="O774" i="4"/>
  <c r="P774" i="4"/>
  <c r="N775" i="4"/>
  <c r="N772" i="4" s="1"/>
  <c r="O775" i="4"/>
  <c r="P775" i="4"/>
  <c r="L780" i="4"/>
  <c r="O780" i="4" s="1"/>
  <c r="M780" i="4"/>
  <c r="N780" i="4"/>
  <c r="P780" i="4"/>
  <c r="O781" i="4"/>
  <c r="P781" i="4"/>
  <c r="O782" i="4"/>
  <c r="P782" i="4"/>
  <c r="L787" i="4"/>
  <c r="O787" i="4" s="1"/>
  <c r="M787" i="4"/>
  <c r="M786" i="4" s="1"/>
  <c r="P786" i="4" s="1"/>
  <c r="N787" i="4"/>
  <c r="M788" i="4"/>
  <c r="P788" i="4"/>
  <c r="M789" i="4"/>
  <c r="P789" i="4" s="1"/>
  <c r="O790" i="4"/>
  <c r="P790" i="4"/>
  <c r="L791" i="4"/>
  <c r="L789" i="4" s="1"/>
  <c r="O789" i="4" s="1"/>
  <c r="N791" i="4"/>
  <c r="N788" i="4" s="1"/>
  <c r="N786" i="4" s="1"/>
  <c r="P791" i="4"/>
  <c r="L796" i="4"/>
  <c r="O796" i="4" s="1"/>
  <c r="M796" i="4"/>
  <c r="N796" i="4"/>
  <c r="P796" i="4"/>
  <c r="O797" i="4"/>
  <c r="P797" i="4"/>
  <c r="O798" i="4"/>
  <c r="P798" i="4"/>
  <c r="I800" i="4"/>
  <c r="K800" i="4" s="1"/>
  <c r="J800" i="4"/>
  <c r="J785" i="4" s="1"/>
  <c r="J801" i="4"/>
  <c r="K802" i="4"/>
  <c r="J804" i="4"/>
  <c r="K804" i="4"/>
  <c r="L806" i="4"/>
  <c r="O806" i="4" s="1"/>
  <c r="M806" i="4"/>
  <c r="M805" i="4" s="1"/>
  <c r="P805" i="4" s="1"/>
  <c r="N806" i="4"/>
  <c r="L807" i="4"/>
  <c r="O807" i="4" s="1"/>
  <c r="M807" i="4"/>
  <c r="P807" i="4" s="1"/>
  <c r="L808" i="4"/>
  <c r="O808" i="4" s="1"/>
  <c r="M808" i="4"/>
  <c r="P808" i="4" s="1"/>
  <c r="O809" i="4"/>
  <c r="P809" i="4"/>
  <c r="N810" i="4"/>
  <c r="N808" i="4" s="1"/>
  <c r="O810" i="4"/>
  <c r="P810" i="4"/>
  <c r="L815" i="4"/>
  <c r="M815" i="4"/>
  <c r="P815" i="4" s="1"/>
  <c r="N815" i="4"/>
  <c r="O815" i="4"/>
  <c r="O816" i="4"/>
  <c r="P816" i="4"/>
  <c r="O817" i="4"/>
  <c r="P817" i="4"/>
  <c r="H820" i="4"/>
  <c r="I821" i="4"/>
  <c r="J821" i="4"/>
  <c r="I822" i="4"/>
  <c r="J822" i="4"/>
  <c r="I823" i="4"/>
  <c r="J823" i="4"/>
  <c r="I824" i="4"/>
  <c r="J824" i="4"/>
  <c r="I825" i="4"/>
  <c r="J825" i="4"/>
  <c r="I826" i="4"/>
  <c r="J826" i="4"/>
  <c r="I827" i="4"/>
  <c r="J827" i="4"/>
  <c r="I828" i="4"/>
  <c r="J828" i="4"/>
  <c r="L22" i="3"/>
  <c r="M22" i="3"/>
  <c r="P22" i="3" s="1"/>
  <c r="N22" i="3"/>
  <c r="L25" i="3"/>
  <c r="M25" i="3"/>
  <c r="N25" i="3"/>
  <c r="O25" i="3"/>
  <c r="L32" i="3"/>
  <c r="O32" i="3" s="1"/>
  <c r="M32" i="3"/>
  <c r="N32" i="3"/>
  <c r="L35" i="3"/>
  <c r="M35" i="3"/>
  <c r="M34" i="3" s="1"/>
  <c r="P34" i="3" s="1"/>
  <c r="N35" i="3"/>
  <c r="N34" i="3" s="1"/>
  <c r="M36" i="3"/>
  <c r="P36" i="3" s="1"/>
  <c r="N36" i="3"/>
  <c r="L42" i="3"/>
  <c r="M42" i="3"/>
  <c r="P42" i="3" s="1"/>
  <c r="N42" i="3"/>
  <c r="O42" i="3"/>
  <c r="O45" i="3"/>
  <c r="P45" i="3"/>
  <c r="L46" i="3"/>
  <c r="L44" i="3" s="1"/>
  <c r="M46" i="3"/>
  <c r="N46" i="3"/>
  <c r="O48" i="3"/>
  <c r="P48" i="3"/>
  <c r="L49" i="3"/>
  <c r="L47" i="3" s="1"/>
  <c r="O47" i="3" s="1"/>
  <c r="M49" i="3"/>
  <c r="P49" i="3" s="1"/>
  <c r="N49" i="3"/>
  <c r="N47" i="3" s="1"/>
  <c r="L54" i="3"/>
  <c r="M54" i="3"/>
  <c r="P54" i="3" s="1"/>
  <c r="N54" i="3"/>
  <c r="O57" i="3"/>
  <c r="P57" i="3"/>
  <c r="L58" i="3"/>
  <c r="M58" i="3"/>
  <c r="M56" i="3" s="1"/>
  <c r="N58" i="3"/>
  <c r="O60" i="3"/>
  <c r="P60" i="3"/>
  <c r="L61" i="3"/>
  <c r="M61" i="3"/>
  <c r="N61" i="3"/>
  <c r="N59" i="3" s="1"/>
  <c r="L67" i="3"/>
  <c r="M67" i="3"/>
  <c r="N67" i="3"/>
  <c r="O67" i="3"/>
  <c r="P67" i="3"/>
  <c r="O70" i="3"/>
  <c r="P70" i="3"/>
  <c r="L71" i="3"/>
  <c r="L69" i="3" s="1"/>
  <c r="O69" i="3" s="1"/>
  <c r="M71" i="3"/>
  <c r="M69" i="3" s="1"/>
  <c r="P69" i="3" s="1"/>
  <c r="N71" i="3"/>
  <c r="N69" i="3" s="1"/>
  <c r="O73" i="3"/>
  <c r="P73" i="3"/>
  <c r="L74" i="3"/>
  <c r="L72" i="3" s="1"/>
  <c r="O72" i="3" s="1"/>
  <c r="M74" i="3"/>
  <c r="M72" i="3" s="1"/>
  <c r="P72" i="3" s="1"/>
  <c r="N74" i="3"/>
  <c r="N72" i="3" s="1"/>
  <c r="J76" i="3"/>
  <c r="J64" i="3" s="1"/>
  <c r="J77" i="3"/>
  <c r="J65" i="3" s="1"/>
  <c r="I78" i="3"/>
  <c r="I79" i="3"/>
  <c r="K79" i="3" s="1"/>
  <c r="I80" i="3"/>
  <c r="K80" i="3" s="1"/>
  <c r="I81" i="3"/>
  <c r="K81" i="3" s="1"/>
  <c r="I82" i="3"/>
  <c r="K82" i="3" s="1"/>
  <c r="I83" i="3"/>
  <c r="K83" i="3" s="1"/>
  <c r="I84" i="3"/>
  <c r="K84" i="3" s="1"/>
  <c r="L89" i="3"/>
  <c r="M89" i="3"/>
  <c r="N89" i="3"/>
  <c r="O89" i="3"/>
  <c r="P89" i="3"/>
  <c r="O92" i="3"/>
  <c r="P92" i="3"/>
  <c r="L93" i="3"/>
  <c r="L91" i="3" s="1"/>
  <c r="M93" i="3"/>
  <c r="M91" i="3" s="1"/>
  <c r="N93" i="3"/>
  <c r="N91" i="3" s="1"/>
  <c r="O95" i="3"/>
  <c r="P95" i="3"/>
  <c r="L96" i="3"/>
  <c r="O96" i="3" s="1"/>
  <c r="M96" i="3"/>
  <c r="M94" i="3" s="1"/>
  <c r="P94" i="3" s="1"/>
  <c r="N96" i="3"/>
  <c r="N94" i="3" s="1"/>
  <c r="I98" i="3"/>
  <c r="K98" i="3" s="1"/>
  <c r="J98" i="3"/>
  <c r="J86" i="3" s="1"/>
  <c r="I99" i="3"/>
  <c r="I87" i="3" s="1"/>
  <c r="J99" i="3"/>
  <c r="J87" i="3" s="1"/>
  <c r="I100" i="3"/>
  <c r="K100" i="3" s="1"/>
  <c r="J100" i="3"/>
  <c r="I102" i="3"/>
  <c r="K102" i="3" s="1"/>
  <c r="I103" i="3"/>
  <c r="K103" i="3" s="1"/>
  <c r="I104" i="3"/>
  <c r="K104" i="3" s="1"/>
  <c r="I106" i="3"/>
  <c r="K106" i="3" s="1"/>
  <c r="I107" i="3"/>
  <c r="K107" i="3" s="1"/>
  <c r="I109" i="3"/>
  <c r="K109" i="3" s="1"/>
  <c r="I110" i="3"/>
  <c r="K110" i="3" s="1"/>
  <c r="I111" i="3"/>
  <c r="J111" i="3"/>
  <c r="J112" i="3"/>
  <c r="I113" i="3"/>
  <c r="K113" i="3" s="1"/>
  <c r="I114" i="3"/>
  <c r="K114" i="3" s="1"/>
  <c r="I115" i="3"/>
  <c r="I116" i="3"/>
  <c r="K116" i="3" s="1"/>
  <c r="K118" i="3"/>
  <c r="L120" i="3"/>
  <c r="M120" i="3"/>
  <c r="P120" i="3" s="1"/>
  <c r="N120" i="3"/>
  <c r="O123" i="3"/>
  <c r="P123" i="3"/>
  <c r="L124" i="3"/>
  <c r="O124" i="3" s="1"/>
  <c r="M124" i="3"/>
  <c r="M122" i="3" s="1"/>
  <c r="P122" i="3" s="1"/>
  <c r="N124" i="3"/>
  <c r="O126" i="3"/>
  <c r="P126" i="3"/>
  <c r="L127" i="3"/>
  <c r="O127" i="3" s="1"/>
  <c r="M127" i="3"/>
  <c r="P127" i="3" s="1"/>
  <c r="N127" i="3"/>
  <c r="N125" i="3" s="1"/>
  <c r="J130" i="3"/>
  <c r="L133" i="3"/>
  <c r="O133" i="3" s="1"/>
  <c r="M133" i="3"/>
  <c r="P133" i="3" s="1"/>
  <c r="N133" i="3"/>
  <c r="O136" i="3"/>
  <c r="P136" i="3"/>
  <c r="L137" i="3"/>
  <c r="L135" i="3" s="1"/>
  <c r="O135" i="3" s="1"/>
  <c r="M137" i="3"/>
  <c r="M135" i="3" s="1"/>
  <c r="P135" i="3" s="1"/>
  <c r="N137" i="3"/>
  <c r="O139" i="3"/>
  <c r="P139" i="3"/>
  <c r="L140" i="3"/>
  <c r="L138" i="3" s="1"/>
  <c r="O138" i="3" s="1"/>
  <c r="M140" i="3"/>
  <c r="M138" i="3" s="1"/>
  <c r="P138" i="3" s="1"/>
  <c r="N140" i="3"/>
  <c r="N138" i="3" s="1"/>
  <c r="I144" i="3"/>
  <c r="I145" i="3"/>
  <c r="I143" i="3" s="1"/>
  <c r="I146" i="3"/>
  <c r="K146" i="3" s="1"/>
  <c r="J148" i="3"/>
  <c r="L150" i="3"/>
  <c r="M150" i="3"/>
  <c r="P150" i="3" s="1"/>
  <c r="N150" i="3"/>
  <c r="O153" i="3"/>
  <c r="P153" i="3"/>
  <c r="L154" i="3"/>
  <c r="O154" i="3" s="1"/>
  <c r="M154" i="3"/>
  <c r="M152" i="3" s="1"/>
  <c r="N154" i="3"/>
  <c r="N152" i="3" s="1"/>
  <c r="O156" i="3"/>
  <c r="P156" i="3"/>
  <c r="L157" i="3"/>
  <c r="M157" i="3"/>
  <c r="P157" i="3" s="1"/>
  <c r="N157" i="3"/>
  <c r="N155" i="3" s="1"/>
  <c r="I159" i="3"/>
  <c r="I148" i="3" s="1"/>
  <c r="K148" i="3" s="1"/>
  <c r="L166" i="3"/>
  <c r="O166" i="3" s="1"/>
  <c r="M166" i="3"/>
  <c r="P166" i="3" s="1"/>
  <c r="N166" i="3"/>
  <c r="O169" i="3"/>
  <c r="P169" i="3"/>
  <c r="L170" i="3"/>
  <c r="L168" i="3" s="1"/>
  <c r="M170" i="3"/>
  <c r="M168" i="3" s="1"/>
  <c r="N170" i="3"/>
  <c r="N168" i="3" s="1"/>
  <c r="O172" i="3"/>
  <c r="P172" i="3"/>
  <c r="L173" i="3"/>
  <c r="L171" i="3" s="1"/>
  <c r="O171" i="3" s="1"/>
  <c r="M173" i="3"/>
  <c r="M171" i="3" s="1"/>
  <c r="P171" i="3" s="1"/>
  <c r="N173" i="3"/>
  <c r="N171" i="3" s="1"/>
  <c r="J174" i="3"/>
  <c r="J164" i="3" s="1"/>
  <c r="I176" i="3"/>
  <c r="I174" i="3" s="1"/>
  <c r="J177" i="3"/>
  <c r="L182" i="3"/>
  <c r="M182" i="3"/>
  <c r="P182" i="3" s="1"/>
  <c r="N182" i="3"/>
  <c r="O182" i="3"/>
  <c r="O185" i="3"/>
  <c r="P185" i="3"/>
  <c r="L186" i="3"/>
  <c r="L184" i="3" s="1"/>
  <c r="M186" i="3"/>
  <c r="M184" i="3" s="1"/>
  <c r="N186" i="3"/>
  <c r="N184" i="3" s="1"/>
  <c r="O188" i="3"/>
  <c r="P188" i="3"/>
  <c r="L189" i="3"/>
  <c r="L187" i="3" s="1"/>
  <c r="O187" i="3" s="1"/>
  <c r="M189" i="3"/>
  <c r="M187" i="3" s="1"/>
  <c r="P187" i="3" s="1"/>
  <c r="N189" i="3"/>
  <c r="N187" i="3" s="1"/>
  <c r="J190" i="3"/>
  <c r="L191" i="3"/>
  <c r="O191" i="3" s="1"/>
  <c r="P191" i="3"/>
  <c r="I193" i="3"/>
  <c r="I190" i="3" s="1"/>
  <c r="J194" i="3"/>
  <c r="J197" i="3"/>
  <c r="N198" i="3"/>
  <c r="P198" i="3"/>
  <c r="L199" i="3"/>
  <c r="L200" i="3"/>
  <c r="L201" i="3"/>
  <c r="L202" i="3"/>
  <c r="I204" i="3"/>
  <c r="I197" i="3" s="1"/>
  <c r="K197" i="3" s="1"/>
  <c r="K206" i="3"/>
  <c r="K207" i="3"/>
  <c r="J208" i="3"/>
  <c r="N209" i="3"/>
  <c r="P209" i="3"/>
  <c r="L210" i="3"/>
  <c r="L211" i="3"/>
  <c r="L212" i="3"/>
  <c r="I214" i="3"/>
  <c r="K214" i="3" s="1"/>
  <c r="I215" i="3"/>
  <c r="I208" i="3" s="1"/>
  <c r="K208" i="3" s="1"/>
  <c r="J216" i="3"/>
  <c r="N217" i="3"/>
  <c r="P217" i="3"/>
  <c r="L218" i="3"/>
  <c r="L219" i="3"/>
  <c r="L220" i="3"/>
  <c r="I223" i="3"/>
  <c r="K223" i="3" s="1"/>
  <c r="I224" i="3"/>
  <c r="I216" i="3" s="1"/>
  <c r="I225" i="3"/>
  <c r="N228" i="3"/>
  <c r="N229" i="3"/>
  <c r="N230" i="3"/>
  <c r="N231" i="3"/>
  <c r="J233" i="3"/>
  <c r="I235" i="3"/>
  <c r="J235" i="3"/>
  <c r="I236" i="3"/>
  <c r="K236" i="3" s="1"/>
  <c r="J236" i="3"/>
  <c r="J237" i="3"/>
  <c r="J226" i="3" s="1"/>
  <c r="J180" i="3" s="1"/>
  <c r="N238" i="3"/>
  <c r="P238" i="3"/>
  <c r="L239" i="3"/>
  <c r="L240" i="3"/>
  <c r="L241" i="3"/>
  <c r="L242" i="3"/>
  <c r="I244" i="3"/>
  <c r="K246" i="3"/>
  <c r="K247" i="3"/>
  <c r="J248" i="3"/>
  <c r="N249" i="3"/>
  <c r="P249" i="3"/>
  <c r="L250" i="3"/>
  <c r="L251" i="3"/>
  <c r="L252" i="3"/>
  <c r="L253" i="3"/>
  <c r="I255" i="3"/>
  <c r="I248" i="3" s="1"/>
  <c r="K248" i="3" s="1"/>
  <c r="K257" i="3"/>
  <c r="K258" i="3"/>
  <c r="J260" i="3"/>
  <c r="L262" i="3"/>
  <c r="M262" i="3"/>
  <c r="N262" i="3"/>
  <c r="O262" i="3"/>
  <c r="P262" i="3"/>
  <c r="O265" i="3"/>
  <c r="P265" i="3"/>
  <c r="L266" i="3"/>
  <c r="M266" i="3"/>
  <c r="N266" i="3"/>
  <c r="N264" i="3" s="1"/>
  <c r="O268" i="3"/>
  <c r="P268" i="3"/>
  <c r="L269" i="3"/>
  <c r="O269" i="3" s="1"/>
  <c r="M269" i="3"/>
  <c r="M267" i="3" s="1"/>
  <c r="P267" i="3" s="1"/>
  <c r="N269" i="3"/>
  <c r="N267" i="3" s="1"/>
  <c r="I271" i="3"/>
  <c r="I260" i="3" s="1"/>
  <c r="K260" i="3" s="1"/>
  <c r="J276" i="3"/>
  <c r="L278" i="3"/>
  <c r="M278" i="3"/>
  <c r="N278" i="3"/>
  <c r="P278" i="3"/>
  <c r="O281" i="3"/>
  <c r="P281" i="3"/>
  <c r="L282" i="3"/>
  <c r="L280" i="3" s="1"/>
  <c r="O280" i="3" s="1"/>
  <c r="M282" i="3"/>
  <c r="N282" i="3"/>
  <c r="N280" i="3" s="1"/>
  <c r="O284" i="3"/>
  <c r="P284" i="3"/>
  <c r="L285" i="3"/>
  <c r="L283" i="3" s="1"/>
  <c r="O283" i="3" s="1"/>
  <c r="M285" i="3"/>
  <c r="M283" i="3" s="1"/>
  <c r="P283" i="3" s="1"/>
  <c r="N285" i="3"/>
  <c r="N283" i="3" s="1"/>
  <c r="I287" i="3"/>
  <c r="I276" i="3" s="1"/>
  <c r="K276" i="3" s="1"/>
  <c r="I288" i="3"/>
  <c r="I275" i="3" s="1"/>
  <c r="K275" i="3" s="1"/>
  <c r="I290" i="3"/>
  <c r="K290" i="3" s="1"/>
  <c r="I291" i="3"/>
  <c r="K291" i="3" s="1"/>
  <c r="I293" i="3"/>
  <c r="K293" i="3" s="1"/>
  <c r="I294" i="3"/>
  <c r="K294" i="3" s="1"/>
  <c r="J297" i="3"/>
  <c r="L299" i="3"/>
  <c r="O299" i="3" s="1"/>
  <c r="M299" i="3"/>
  <c r="P299" i="3" s="1"/>
  <c r="N299" i="3"/>
  <c r="O302" i="3"/>
  <c r="P302" i="3"/>
  <c r="L303" i="3"/>
  <c r="L301" i="3" s="1"/>
  <c r="O301" i="3" s="1"/>
  <c r="M303" i="3"/>
  <c r="M301" i="3" s="1"/>
  <c r="P301" i="3" s="1"/>
  <c r="N303" i="3"/>
  <c r="N301" i="3" s="1"/>
  <c r="O305" i="3"/>
  <c r="P305" i="3"/>
  <c r="L306" i="3"/>
  <c r="L304" i="3" s="1"/>
  <c r="O304" i="3" s="1"/>
  <c r="M306" i="3"/>
  <c r="M304" i="3" s="1"/>
  <c r="P304" i="3" s="1"/>
  <c r="N306" i="3"/>
  <c r="N304" i="3" s="1"/>
  <c r="I309" i="3"/>
  <c r="I297" i="3" s="1"/>
  <c r="K297" i="3" s="1"/>
  <c r="I310" i="3"/>
  <c r="K310" i="3" s="1"/>
  <c r="I311" i="3"/>
  <c r="K311" i="3" s="1"/>
  <c r="I312" i="3"/>
  <c r="K312" i="3" s="1"/>
  <c r="J314" i="3"/>
  <c r="L316" i="3"/>
  <c r="M316" i="3"/>
  <c r="N316" i="3"/>
  <c r="O319" i="3"/>
  <c r="P319" i="3"/>
  <c r="L320" i="3"/>
  <c r="O320" i="3" s="1"/>
  <c r="M320" i="3"/>
  <c r="N320" i="3"/>
  <c r="N318" i="3" s="1"/>
  <c r="O322" i="3"/>
  <c r="P322" i="3"/>
  <c r="L323" i="3"/>
  <c r="O323" i="3" s="1"/>
  <c r="M323" i="3"/>
  <c r="N323" i="3"/>
  <c r="N321" i="3" s="1"/>
  <c r="I325" i="3"/>
  <c r="I314" i="3" s="1"/>
  <c r="K314" i="3" s="1"/>
  <c r="I327" i="3"/>
  <c r="L329" i="3"/>
  <c r="O329" i="3" s="1"/>
  <c r="M329" i="3"/>
  <c r="P329" i="3" s="1"/>
  <c r="N329" i="3"/>
  <c r="O332" i="3"/>
  <c r="P332" i="3"/>
  <c r="L333" i="3"/>
  <c r="L331" i="3" s="1"/>
  <c r="M333" i="3"/>
  <c r="N333" i="3"/>
  <c r="O335" i="3"/>
  <c r="P335" i="3"/>
  <c r="L336" i="3"/>
  <c r="O336" i="3" s="1"/>
  <c r="M336" i="3"/>
  <c r="M334" i="3" s="1"/>
  <c r="P334" i="3" s="1"/>
  <c r="N336" i="3"/>
  <c r="N334" i="3" s="1"/>
  <c r="D337" i="3"/>
  <c r="I338" i="3"/>
  <c r="J338" i="3"/>
  <c r="I340" i="3"/>
  <c r="J340" i="3"/>
  <c r="J341" i="3"/>
  <c r="J342" i="3"/>
  <c r="J343" i="3"/>
  <c r="L346" i="3"/>
  <c r="M346" i="3"/>
  <c r="N346" i="3"/>
  <c r="O346" i="3"/>
  <c r="P346" i="3"/>
  <c r="O349" i="3"/>
  <c r="P349" i="3"/>
  <c r="L350" i="3"/>
  <c r="M350" i="3"/>
  <c r="N350" i="3"/>
  <c r="N348" i="3" s="1"/>
  <c r="O352" i="3"/>
  <c r="P352" i="3"/>
  <c r="L353" i="3"/>
  <c r="L351" i="3" s="1"/>
  <c r="M353" i="3"/>
  <c r="M351" i="3" s="1"/>
  <c r="N353" i="3"/>
  <c r="N351" i="3" s="1"/>
  <c r="I355" i="3"/>
  <c r="J358" i="3"/>
  <c r="K358" i="3"/>
  <c r="I359" i="3"/>
  <c r="J359" i="3"/>
  <c r="I360" i="3"/>
  <c r="J360" i="3"/>
  <c r="J361" i="3"/>
  <c r="K361" i="3"/>
  <c r="I362" i="3"/>
  <c r="J362" i="3"/>
  <c r="J355" i="3" s="1"/>
  <c r="J363" i="3"/>
  <c r="K363" i="3"/>
  <c r="I365" i="3"/>
  <c r="J368" i="3"/>
  <c r="K368" i="3"/>
  <c r="I369" i="3"/>
  <c r="J369" i="3"/>
  <c r="I370" i="3"/>
  <c r="J370" i="3"/>
  <c r="J371" i="3"/>
  <c r="K371" i="3"/>
  <c r="I372" i="3"/>
  <c r="J372" i="3"/>
  <c r="J365" i="3" s="1"/>
  <c r="A373" i="3"/>
  <c r="J373" i="3"/>
  <c r="K373" i="3"/>
  <c r="I374" i="3"/>
  <c r="J377" i="3"/>
  <c r="K377" i="3"/>
  <c r="I378" i="3"/>
  <c r="J378" i="3"/>
  <c r="I379" i="3"/>
  <c r="J379" i="3"/>
  <c r="J380" i="3"/>
  <c r="K380" i="3"/>
  <c r="I381" i="3"/>
  <c r="J381" i="3"/>
  <c r="J374" i="3" s="1"/>
  <c r="A382" i="3"/>
  <c r="J382" i="3"/>
  <c r="K382" i="3"/>
  <c r="D384" i="3"/>
  <c r="I385" i="3"/>
  <c r="J385" i="3"/>
  <c r="I388" i="3"/>
  <c r="J388" i="3"/>
  <c r="K388" i="3"/>
  <c r="L390" i="3"/>
  <c r="M390" i="3"/>
  <c r="N390" i="3"/>
  <c r="O393" i="3"/>
  <c r="P393" i="3"/>
  <c r="L394" i="3"/>
  <c r="O394" i="3" s="1"/>
  <c r="M394" i="3"/>
  <c r="N394" i="3"/>
  <c r="N392" i="3" s="1"/>
  <c r="O396" i="3"/>
  <c r="P396" i="3"/>
  <c r="L397" i="3"/>
  <c r="O397" i="3" s="1"/>
  <c r="M397" i="3"/>
  <c r="N397" i="3"/>
  <c r="N395" i="3" s="1"/>
  <c r="K399" i="3"/>
  <c r="K400" i="3"/>
  <c r="I401" i="3"/>
  <c r="K401" i="3" s="1"/>
  <c r="J401" i="3"/>
  <c r="L403" i="3"/>
  <c r="M403" i="3"/>
  <c r="N403" i="3"/>
  <c r="O403" i="3"/>
  <c r="P403" i="3"/>
  <c r="O406" i="3"/>
  <c r="P406" i="3"/>
  <c r="L407" i="3"/>
  <c r="O407" i="3" s="1"/>
  <c r="M407" i="3"/>
  <c r="N407" i="3"/>
  <c r="N405" i="3" s="1"/>
  <c r="O409" i="3"/>
  <c r="P409" i="3"/>
  <c r="L410" i="3"/>
  <c r="O410" i="3" s="1"/>
  <c r="M410" i="3"/>
  <c r="M408" i="3" s="1"/>
  <c r="P408" i="3" s="1"/>
  <c r="N410" i="3"/>
  <c r="N408" i="3" s="1"/>
  <c r="K412" i="3"/>
  <c r="K413" i="3"/>
  <c r="L420" i="3"/>
  <c r="M420" i="3"/>
  <c r="N420" i="3"/>
  <c r="O423" i="3"/>
  <c r="P423" i="3"/>
  <c r="L424" i="3"/>
  <c r="M424" i="3" s="1"/>
  <c r="M421" i="3" s="1"/>
  <c r="N424" i="3"/>
  <c r="N422" i="3" s="1"/>
  <c r="N428" i="3"/>
  <c r="M429" i="3"/>
  <c r="P429" i="3" s="1"/>
  <c r="N429" i="3"/>
  <c r="O430" i="3"/>
  <c r="P430" i="3"/>
  <c r="L431" i="3"/>
  <c r="P431" i="3"/>
  <c r="J434" i="3"/>
  <c r="J418" i="3" s="1"/>
  <c r="I435" i="3"/>
  <c r="I433" i="3" s="1"/>
  <c r="I437" i="3"/>
  <c r="I438" i="3"/>
  <c r="K438" i="3" s="1"/>
  <c r="I439" i="3"/>
  <c r="K439" i="3" s="1"/>
  <c r="I440" i="3"/>
  <c r="K440" i="3" s="1"/>
  <c r="I441" i="3"/>
  <c r="K441" i="3" s="1"/>
  <c r="J442" i="3"/>
  <c r="J443" i="3"/>
  <c r="L445" i="3"/>
  <c r="O445" i="3" s="1"/>
  <c r="M445" i="3"/>
  <c r="P445" i="3" s="1"/>
  <c r="N445" i="3"/>
  <c r="M446" i="3"/>
  <c r="P446" i="3"/>
  <c r="M447" i="3"/>
  <c r="P447" i="3" s="1"/>
  <c r="O448" i="3"/>
  <c r="P448" i="3"/>
  <c r="L449" i="3"/>
  <c r="O449" i="3" s="1"/>
  <c r="N449" i="3"/>
  <c r="N447" i="3" s="1"/>
  <c r="P449" i="3"/>
  <c r="M454" i="3"/>
  <c r="P454" i="3" s="1"/>
  <c r="N454" i="3"/>
  <c r="O455" i="3"/>
  <c r="P455" i="3"/>
  <c r="L456" i="3"/>
  <c r="O456" i="3" s="1"/>
  <c r="P456" i="3"/>
  <c r="K458" i="3"/>
  <c r="I460" i="3"/>
  <c r="I442" i="3" s="1"/>
  <c r="K442" i="3" s="1"/>
  <c r="I462" i="3"/>
  <c r="K462" i="3" s="1"/>
  <c r="I463" i="3"/>
  <c r="I464" i="3"/>
  <c r="I465" i="3"/>
  <c r="K465" i="3" s="1"/>
  <c r="J465" i="3"/>
  <c r="I466" i="3"/>
  <c r="J466" i="3"/>
  <c r="L468" i="3"/>
  <c r="O468" i="3" s="1"/>
  <c r="M468" i="3"/>
  <c r="P468" i="3" s="1"/>
  <c r="N468" i="3"/>
  <c r="O471" i="3"/>
  <c r="P471" i="3"/>
  <c r="L472" i="3"/>
  <c r="O472" i="3" s="1"/>
  <c r="N472" i="3"/>
  <c r="N470" i="3" s="1"/>
  <c r="M477" i="3"/>
  <c r="P477" i="3" s="1"/>
  <c r="N477" i="3"/>
  <c r="O478" i="3"/>
  <c r="P478" i="3"/>
  <c r="L479" i="3"/>
  <c r="O479" i="3" s="1"/>
  <c r="P479" i="3"/>
  <c r="I483" i="3"/>
  <c r="K483" i="3" s="1"/>
  <c r="I485" i="3"/>
  <c r="K485" i="3" s="1"/>
  <c r="I487" i="3"/>
  <c r="K487" i="3" s="1"/>
  <c r="I489" i="3"/>
  <c r="K489" i="3" s="1"/>
  <c r="I492" i="3"/>
  <c r="K492" i="3" s="1"/>
  <c r="I495" i="3"/>
  <c r="K495" i="3" s="1"/>
  <c r="I498" i="3"/>
  <c r="K498" i="3" s="1"/>
  <c r="J500" i="3"/>
  <c r="K500" i="3"/>
  <c r="K501" i="3"/>
  <c r="L503" i="3"/>
  <c r="M503" i="3"/>
  <c r="P503" i="3" s="1"/>
  <c r="N503" i="3"/>
  <c r="O503" i="3"/>
  <c r="L504" i="3"/>
  <c r="L502" i="3" s="1"/>
  <c r="O502" i="3" s="1"/>
  <c r="M504" i="3"/>
  <c r="O504" i="3"/>
  <c r="P504" i="3"/>
  <c r="L505" i="3"/>
  <c r="O505" i="3" s="1"/>
  <c r="M505" i="3"/>
  <c r="N505" i="3"/>
  <c r="P505" i="3"/>
  <c r="O506" i="3"/>
  <c r="P506" i="3"/>
  <c r="N507" i="3"/>
  <c r="N504" i="3" s="1"/>
  <c r="O507" i="3"/>
  <c r="P507" i="3"/>
  <c r="L512" i="3"/>
  <c r="O512" i="3" s="1"/>
  <c r="M512" i="3"/>
  <c r="P512" i="3" s="1"/>
  <c r="N512" i="3"/>
  <c r="O513" i="3"/>
  <c r="P513" i="3"/>
  <c r="O514" i="3"/>
  <c r="P514" i="3"/>
  <c r="K516" i="3"/>
  <c r="J517" i="3"/>
  <c r="J501" i="3" s="1"/>
  <c r="K517" i="3"/>
  <c r="L524" i="3"/>
  <c r="O524" i="3" s="1"/>
  <c r="M524" i="3"/>
  <c r="P524" i="3" s="1"/>
  <c r="N524" i="3"/>
  <c r="M525" i="3"/>
  <c r="P525" i="3"/>
  <c r="M526" i="3"/>
  <c r="P526" i="3" s="1"/>
  <c r="O527" i="3"/>
  <c r="P527" i="3"/>
  <c r="L528" i="3"/>
  <c r="O528" i="3" s="1"/>
  <c r="N528" i="3"/>
  <c r="N526" i="3" s="1"/>
  <c r="P528" i="3"/>
  <c r="M533" i="3"/>
  <c r="P533" i="3" s="1"/>
  <c r="N533" i="3"/>
  <c r="O534" i="3"/>
  <c r="P534" i="3"/>
  <c r="L535" i="3"/>
  <c r="P535" i="3"/>
  <c r="I537" i="3"/>
  <c r="K537" i="3" s="1"/>
  <c r="I538" i="3"/>
  <c r="K538" i="3" s="1"/>
  <c r="I539" i="3"/>
  <c r="K539" i="3" s="1"/>
  <c r="I540" i="3"/>
  <c r="K540" i="3" s="1"/>
  <c r="I541" i="3"/>
  <c r="K541" i="3" s="1"/>
  <c r="I542" i="3"/>
  <c r="K542" i="3" s="1"/>
  <c r="L545" i="3"/>
  <c r="O545" i="3" s="1"/>
  <c r="N546" i="3"/>
  <c r="O548" i="3"/>
  <c r="P548" i="3"/>
  <c r="L549" i="3"/>
  <c r="M549" i="3" s="1"/>
  <c r="N549" i="3"/>
  <c r="N547" i="3" s="1"/>
  <c r="N552" i="3"/>
  <c r="M555" i="3"/>
  <c r="P555" i="3" s="1"/>
  <c r="N555" i="3"/>
  <c r="N545" i="3" s="1"/>
  <c r="N544" i="3" s="1"/>
  <c r="O556" i="3"/>
  <c r="P556" i="3"/>
  <c r="L557" i="3"/>
  <c r="L555" i="3" s="1"/>
  <c r="O555" i="3" s="1"/>
  <c r="P557" i="3"/>
  <c r="I560" i="3"/>
  <c r="K560" i="3" s="1"/>
  <c r="J560" i="3"/>
  <c r="I561" i="3"/>
  <c r="K561" i="3" s="1"/>
  <c r="J561" i="3"/>
  <c r="I568" i="3"/>
  <c r="K568" i="3" s="1"/>
  <c r="J568" i="3"/>
  <c r="I569" i="3"/>
  <c r="K569" i="3" s="1"/>
  <c r="J569" i="3"/>
  <c r="I576" i="3"/>
  <c r="I577" i="3"/>
  <c r="K577" i="3" s="1"/>
  <c r="J582" i="3"/>
  <c r="J576" i="3" s="1"/>
  <c r="J559" i="3" s="1"/>
  <c r="J543" i="3" s="1"/>
  <c r="J583" i="3"/>
  <c r="J577" i="3" s="1"/>
  <c r="I593" i="3"/>
  <c r="I592" i="3" s="1"/>
  <c r="I594" i="3"/>
  <c r="J595" i="3"/>
  <c r="J596" i="3"/>
  <c r="J594" i="3" s="1"/>
  <c r="J603" i="3"/>
  <c r="J604" i="3"/>
  <c r="J611" i="3"/>
  <c r="K611" i="3"/>
  <c r="J612" i="3"/>
  <c r="K612" i="3"/>
  <c r="J613" i="3"/>
  <c r="K613" i="3"/>
  <c r="I620" i="3"/>
  <c r="K620" i="3" s="1"/>
  <c r="J620" i="3"/>
  <c r="I621" i="3"/>
  <c r="K621" i="3" s="1"/>
  <c r="J621" i="3"/>
  <c r="L630" i="3"/>
  <c r="M630" i="3"/>
  <c r="P630" i="3" s="1"/>
  <c r="N630" i="3"/>
  <c r="M631" i="3"/>
  <c r="P631" i="3" s="1"/>
  <c r="M632" i="3"/>
  <c r="P632" i="3" s="1"/>
  <c r="O633" i="3"/>
  <c r="P633" i="3"/>
  <c r="L634" i="3"/>
  <c r="L632" i="3" s="1"/>
  <c r="O632" i="3" s="1"/>
  <c r="N634" i="3"/>
  <c r="N632" i="3" s="1"/>
  <c r="P634" i="3"/>
  <c r="M639" i="3"/>
  <c r="N639" i="3"/>
  <c r="P639" i="3"/>
  <c r="O640" i="3"/>
  <c r="P640" i="3"/>
  <c r="L641" i="3"/>
  <c r="L639" i="3" s="1"/>
  <c r="O639" i="3" s="1"/>
  <c r="P641" i="3"/>
  <c r="I643" i="3"/>
  <c r="K643" i="3" s="1"/>
  <c r="I644" i="3"/>
  <c r="K644" i="3" s="1"/>
  <c r="J645" i="3"/>
  <c r="K645" i="3"/>
  <c r="J646" i="3"/>
  <c r="K646" i="3"/>
  <c r="I647" i="3"/>
  <c r="K647" i="3" s="1"/>
  <c r="J647" i="3"/>
  <c r="J648" i="3"/>
  <c r="K648" i="3"/>
  <c r="I649" i="3"/>
  <c r="K649" i="3" s="1"/>
  <c r="J649" i="3"/>
  <c r="J650" i="3"/>
  <c r="K650" i="3"/>
  <c r="I651" i="3"/>
  <c r="I628" i="3" s="1"/>
  <c r="K628" i="3" s="1"/>
  <c r="J651" i="3"/>
  <c r="J628" i="3" s="1"/>
  <c r="J652" i="3"/>
  <c r="K652" i="3"/>
  <c r="L656" i="3"/>
  <c r="M656" i="3"/>
  <c r="P656" i="3" s="1"/>
  <c r="N656" i="3"/>
  <c r="N657" i="3"/>
  <c r="N655" i="3" s="1"/>
  <c r="O659" i="3"/>
  <c r="P659" i="3"/>
  <c r="L660" i="3"/>
  <c r="M660" i="3" s="1"/>
  <c r="N660" i="3"/>
  <c r="N658" i="3" s="1"/>
  <c r="L665" i="3"/>
  <c r="O665" i="3" s="1"/>
  <c r="M665" i="3"/>
  <c r="P665" i="3" s="1"/>
  <c r="N665" i="3"/>
  <c r="O666" i="3"/>
  <c r="P666" i="3"/>
  <c r="O667" i="3"/>
  <c r="P667" i="3"/>
  <c r="I669" i="3"/>
  <c r="K674" i="3" s="1"/>
  <c r="I670" i="3"/>
  <c r="K670" i="3" s="1"/>
  <c r="I671" i="3"/>
  <c r="K671" i="3" s="1"/>
  <c r="J675" i="3"/>
  <c r="J669" i="3" s="1"/>
  <c r="J654" i="3" s="1"/>
  <c r="I678" i="3"/>
  <c r="K678" i="3" s="1"/>
  <c r="J678" i="3"/>
  <c r="J679" i="3"/>
  <c r="L686" i="3"/>
  <c r="M686" i="3"/>
  <c r="N686" i="3"/>
  <c r="N685" i="3" s="1"/>
  <c r="O686" i="3"/>
  <c r="N687" i="3"/>
  <c r="L690" i="3"/>
  <c r="L688" i="3" s="1"/>
  <c r="O688" i="3" s="1"/>
  <c r="N690" i="3"/>
  <c r="N688" i="3" s="1"/>
  <c r="L695" i="3"/>
  <c r="O695" i="3" s="1"/>
  <c r="M695" i="3"/>
  <c r="P695" i="3" s="1"/>
  <c r="N695" i="3"/>
  <c r="O696" i="3"/>
  <c r="P696" i="3"/>
  <c r="O697" i="3"/>
  <c r="P697" i="3"/>
  <c r="I699" i="3"/>
  <c r="J699" i="3"/>
  <c r="I700" i="3"/>
  <c r="J700" i="3"/>
  <c r="I701" i="3"/>
  <c r="K701" i="3" s="1"/>
  <c r="J701" i="3"/>
  <c r="I704" i="3"/>
  <c r="I707" i="3"/>
  <c r="I708" i="3"/>
  <c r="J708" i="3"/>
  <c r="J718" i="3"/>
  <c r="J719" i="3"/>
  <c r="I720" i="3"/>
  <c r="K720" i="3" s="1"/>
  <c r="J720" i="3"/>
  <c r="I721" i="3"/>
  <c r="I722" i="3"/>
  <c r="I723" i="3"/>
  <c r="J723" i="3"/>
  <c r="J724" i="3"/>
  <c r="I725" i="3"/>
  <c r="J725" i="3"/>
  <c r="I726" i="3"/>
  <c r="K726" i="3" s="1"/>
  <c r="J726" i="3"/>
  <c r="J727" i="3"/>
  <c r="I728" i="3"/>
  <c r="K728" i="3" s="1"/>
  <c r="J728" i="3"/>
  <c r="I729" i="3"/>
  <c r="J729" i="3"/>
  <c r="J736" i="3"/>
  <c r="K736" i="3"/>
  <c r="L738" i="3"/>
  <c r="L737" i="3" s="1"/>
  <c r="O737" i="3" s="1"/>
  <c r="M738" i="3"/>
  <c r="N738" i="3"/>
  <c r="L739" i="3"/>
  <c r="O739" i="3" s="1"/>
  <c r="M739" i="3"/>
  <c r="P739" i="3" s="1"/>
  <c r="N739" i="3"/>
  <c r="L740" i="3"/>
  <c r="O740" i="3" s="1"/>
  <c r="M740" i="3"/>
  <c r="P740" i="3" s="1"/>
  <c r="O741" i="3"/>
  <c r="P741" i="3"/>
  <c r="N742" i="3"/>
  <c r="N740" i="3" s="1"/>
  <c r="O742" i="3"/>
  <c r="P742" i="3"/>
  <c r="L747" i="3"/>
  <c r="M747" i="3"/>
  <c r="P747" i="3" s="1"/>
  <c r="N747" i="3"/>
  <c r="O747" i="3"/>
  <c r="O748" i="3"/>
  <c r="P748" i="3"/>
  <c r="O749" i="3"/>
  <c r="P749" i="3"/>
  <c r="J753" i="3"/>
  <c r="K753" i="3"/>
  <c r="L755" i="3"/>
  <c r="L754" i="3" s="1"/>
  <c r="O754" i="3" s="1"/>
  <c r="M755" i="3"/>
  <c r="N755" i="3"/>
  <c r="N754" i="3" s="1"/>
  <c r="O755" i="3"/>
  <c r="L756" i="3"/>
  <c r="O756" i="3" s="1"/>
  <c r="M756" i="3"/>
  <c r="P756" i="3" s="1"/>
  <c r="N756" i="3"/>
  <c r="L757" i="3"/>
  <c r="O757" i="3" s="1"/>
  <c r="M757" i="3"/>
  <c r="P757" i="3" s="1"/>
  <c r="O758" i="3"/>
  <c r="P758" i="3"/>
  <c r="N759" i="3"/>
  <c r="N757" i="3" s="1"/>
  <c r="O759" i="3"/>
  <c r="P759" i="3"/>
  <c r="L764" i="3"/>
  <c r="O764" i="3" s="1"/>
  <c r="M764" i="3"/>
  <c r="P764" i="3" s="1"/>
  <c r="N764" i="3"/>
  <c r="O765" i="3"/>
  <c r="P765" i="3"/>
  <c r="O766" i="3"/>
  <c r="P766" i="3"/>
  <c r="J769" i="3"/>
  <c r="K769" i="3"/>
  <c r="L771" i="3"/>
  <c r="O771" i="3" s="1"/>
  <c r="M771" i="3"/>
  <c r="N771" i="3"/>
  <c r="L772" i="3"/>
  <c r="O772" i="3" s="1"/>
  <c r="M772" i="3"/>
  <c r="P772" i="3" s="1"/>
  <c r="N772" i="3"/>
  <c r="L773" i="3"/>
  <c r="O773" i="3" s="1"/>
  <c r="M773" i="3"/>
  <c r="P773" i="3" s="1"/>
  <c r="O774" i="3"/>
  <c r="P774" i="3"/>
  <c r="N775" i="3"/>
  <c r="N773" i="3" s="1"/>
  <c r="O775" i="3"/>
  <c r="P775" i="3"/>
  <c r="L780" i="3"/>
  <c r="M780" i="3"/>
  <c r="P780" i="3" s="1"/>
  <c r="N780" i="3"/>
  <c r="O780" i="3"/>
  <c r="O781" i="3"/>
  <c r="P781" i="3"/>
  <c r="O782" i="3"/>
  <c r="P782" i="3"/>
  <c r="L787" i="3"/>
  <c r="M787" i="3"/>
  <c r="M786" i="3" s="1"/>
  <c r="P786" i="3" s="1"/>
  <c r="N787" i="3"/>
  <c r="P787" i="3"/>
  <c r="M788" i="3"/>
  <c r="P788" i="3" s="1"/>
  <c r="M789" i="3"/>
  <c r="P789" i="3" s="1"/>
  <c r="O790" i="3"/>
  <c r="P790" i="3"/>
  <c r="L791" i="3"/>
  <c r="L788" i="3" s="1"/>
  <c r="O788" i="3" s="1"/>
  <c r="N791" i="3"/>
  <c r="N788" i="3" s="1"/>
  <c r="P791" i="3"/>
  <c r="L796" i="3"/>
  <c r="M796" i="3"/>
  <c r="P796" i="3" s="1"/>
  <c r="N796" i="3"/>
  <c r="O796" i="3"/>
  <c r="O797" i="3"/>
  <c r="P797" i="3"/>
  <c r="O798" i="3"/>
  <c r="P798" i="3"/>
  <c r="I800" i="3"/>
  <c r="K800" i="3" s="1"/>
  <c r="J800" i="3"/>
  <c r="J785" i="3" s="1"/>
  <c r="J801" i="3"/>
  <c r="K802" i="3"/>
  <c r="J804" i="3"/>
  <c r="K804" i="3"/>
  <c r="L806" i="3"/>
  <c r="M806" i="3"/>
  <c r="M805" i="3" s="1"/>
  <c r="P805" i="3" s="1"/>
  <c r="N806" i="3"/>
  <c r="L807" i="3"/>
  <c r="M807" i="3"/>
  <c r="P807" i="3" s="1"/>
  <c r="O807" i="3"/>
  <c r="L808" i="3"/>
  <c r="O808" i="3" s="1"/>
  <c r="M808" i="3"/>
  <c r="P808" i="3"/>
  <c r="O809" i="3"/>
  <c r="P809" i="3"/>
  <c r="N810" i="3"/>
  <c r="N808" i="3" s="1"/>
  <c r="O810" i="3"/>
  <c r="P810" i="3"/>
  <c r="L815" i="3"/>
  <c r="O815" i="3" s="1"/>
  <c r="M815" i="3"/>
  <c r="N815" i="3"/>
  <c r="P815" i="3"/>
  <c r="O816" i="3"/>
  <c r="P816" i="3"/>
  <c r="O817" i="3"/>
  <c r="P817" i="3"/>
  <c r="H820" i="3"/>
  <c r="I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L22" i="2"/>
  <c r="M22" i="2"/>
  <c r="N22" i="2"/>
  <c r="N19" i="2" s="1"/>
  <c r="L25" i="2"/>
  <c r="L15" i="2" s="1"/>
  <c r="M25" i="2"/>
  <c r="N25" i="2"/>
  <c r="O25" i="2"/>
  <c r="P25" i="2"/>
  <c r="L32" i="2"/>
  <c r="O32" i="2" s="1"/>
  <c r="M32" i="2"/>
  <c r="N32" i="2"/>
  <c r="P32" i="2"/>
  <c r="L35" i="2"/>
  <c r="M35" i="2"/>
  <c r="M15" i="2" s="1"/>
  <c r="N35" i="2"/>
  <c r="N34" i="2" s="1"/>
  <c r="M36" i="2"/>
  <c r="P36" i="2" s="1"/>
  <c r="N36" i="2"/>
  <c r="L42" i="2"/>
  <c r="O42" i="2" s="1"/>
  <c r="M42" i="2"/>
  <c r="P42" i="2" s="1"/>
  <c r="N42" i="2"/>
  <c r="O45" i="2"/>
  <c r="P45" i="2"/>
  <c r="L46" i="2"/>
  <c r="M46" i="2"/>
  <c r="M44" i="2" s="1"/>
  <c r="N46" i="2"/>
  <c r="O48" i="2"/>
  <c r="P48" i="2"/>
  <c r="L49" i="2"/>
  <c r="L47" i="2" s="1"/>
  <c r="O47" i="2" s="1"/>
  <c r="M49" i="2"/>
  <c r="M47" i="2" s="1"/>
  <c r="P47" i="2" s="1"/>
  <c r="N49" i="2"/>
  <c r="N47" i="2" s="1"/>
  <c r="L54" i="2"/>
  <c r="O54" i="2" s="1"/>
  <c r="M54" i="2"/>
  <c r="N54" i="2"/>
  <c r="O57" i="2"/>
  <c r="P57" i="2"/>
  <c r="L58" i="2"/>
  <c r="L56" i="2" s="1"/>
  <c r="M58" i="2"/>
  <c r="N58" i="2"/>
  <c r="O60" i="2"/>
  <c r="P60" i="2"/>
  <c r="L61" i="2"/>
  <c r="L59" i="2" s="1"/>
  <c r="M61" i="2"/>
  <c r="N61" i="2"/>
  <c r="L67" i="2"/>
  <c r="O67" i="2" s="1"/>
  <c r="M67" i="2"/>
  <c r="P67" i="2" s="1"/>
  <c r="N67" i="2"/>
  <c r="O70" i="2"/>
  <c r="P70" i="2"/>
  <c r="L71" i="2"/>
  <c r="L69" i="2" s="1"/>
  <c r="O69" i="2" s="1"/>
  <c r="M71" i="2"/>
  <c r="M69" i="2" s="1"/>
  <c r="P69" i="2" s="1"/>
  <c r="N71" i="2"/>
  <c r="N69" i="2" s="1"/>
  <c r="O73" i="2"/>
  <c r="P73" i="2"/>
  <c r="L74" i="2"/>
  <c r="O74" i="2" s="1"/>
  <c r="M74" i="2"/>
  <c r="M72" i="2" s="1"/>
  <c r="P72" i="2" s="1"/>
  <c r="N74" i="2"/>
  <c r="N72" i="2" s="1"/>
  <c r="J76" i="2"/>
  <c r="J64" i="2" s="1"/>
  <c r="J77" i="2"/>
  <c r="J65" i="2" s="1"/>
  <c r="I78" i="2"/>
  <c r="K78" i="2" s="1"/>
  <c r="I79" i="2"/>
  <c r="I80" i="2"/>
  <c r="K80" i="2" s="1"/>
  <c r="I81" i="2"/>
  <c r="K81" i="2" s="1"/>
  <c r="I82" i="2"/>
  <c r="K82" i="2" s="1"/>
  <c r="I83" i="2"/>
  <c r="K83" i="2" s="1"/>
  <c r="I84" i="2"/>
  <c r="K84" i="2" s="1"/>
  <c r="L89" i="2"/>
  <c r="M89" i="2"/>
  <c r="N89" i="2"/>
  <c r="O92" i="2"/>
  <c r="P92" i="2"/>
  <c r="L93" i="2"/>
  <c r="M93" i="2"/>
  <c r="N93" i="2"/>
  <c r="N91" i="2" s="1"/>
  <c r="O95" i="2"/>
  <c r="P95" i="2"/>
  <c r="L96" i="2"/>
  <c r="O96" i="2" s="1"/>
  <c r="M96" i="2"/>
  <c r="P96" i="2" s="1"/>
  <c r="N96" i="2"/>
  <c r="N94" i="2" s="1"/>
  <c r="I98" i="2"/>
  <c r="J98" i="2"/>
  <c r="J86" i="2" s="1"/>
  <c r="I99" i="2"/>
  <c r="K99" i="2" s="1"/>
  <c r="J99" i="2"/>
  <c r="J87" i="2" s="1"/>
  <c r="I100" i="2"/>
  <c r="J100" i="2"/>
  <c r="I102" i="2"/>
  <c r="K102" i="2" s="1"/>
  <c r="I103" i="2"/>
  <c r="K103" i="2" s="1"/>
  <c r="I104" i="2"/>
  <c r="K104" i="2" s="1"/>
  <c r="I106" i="2"/>
  <c r="K106" i="2" s="1"/>
  <c r="I107" i="2"/>
  <c r="K107" i="2" s="1"/>
  <c r="I109" i="2"/>
  <c r="K109" i="2" s="1"/>
  <c r="I110" i="2"/>
  <c r="K110" i="2" s="1"/>
  <c r="I111" i="2"/>
  <c r="K111" i="2" s="1"/>
  <c r="J111" i="2"/>
  <c r="J112" i="2"/>
  <c r="I113" i="2"/>
  <c r="K113" i="2" s="1"/>
  <c r="I114" i="2"/>
  <c r="K114" i="2" s="1"/>
  <c r="I115" i="2"/>
  <c r="I116" i="2"/>
  <c r="K116" i="2" s="1"/>
  <c r="L120" i="2"/>
  <c r="O120" i="2" s="1"/>
  <c r="M120" i="2"/>
  <c r="N120" i="2"/>
  <c r="O123" i="2"/>
  <c r="P123" i="2"/>
  <c r="L124" i="2"/>
  <c r="L122" i="2" s="1"/>
  <c r="O122" i="2" s="1"/>
  <c r="M124" i="2"/>
  <c r="N124" i="2"/>
  <c r="N122" i="2" s="1"/>
  <c r="O126" i="2"/>
  <c r="P126" i="2"/>
  <c r="L127" i="2"/>
  <c r="O127" i="2" s="1"/>
  <c r="M127" i="2"/>
  <c r="N127" i="2"/>
  <c r="N125" i="2" s="1"/>
  <c r="J130" i="2"/>
  <c r="L133" i="2"/>
  <c r="M133" i="2"/>
  <c r="N133" i="2"/>
  <c r="O133" i="2"/>
  <c r="P133" i="2"/>
  <c r="O136" i="2"/>
  <c r="P136" i="2"/>
  <c r="L137" i="2"/>
  <c r="M137" i="2"/>
  <c r="M135" i="2" s="1"/>
  <c r="P135" i="2" s="1"/>
  <c r="N137" i="2"/>
  <c r="N135" i="2" s="1"/>
  <c r="O139" i="2"/>
  <c r="P139" i="2"/>
  <c r="L140" i="2"/>
  <c r="O140" i="2" s="1"/>
  <c r="M140" i="2"/>
  <c r="M138" i="2" s="1"/>
  <c r="P138" i="2" s="1"/>
  <c r="N140" i="2"/>
  <c r="N138" i="2" s="1"/>
  <c r="I144" i="2"/>
  <c r="K144" i="2" s="1"/>
  <c r="I145" i="2"/>
  <c r="I146" i="2"/>
  <c r="K146" i="2" s="1"/>
  <c r="J148" i="2"/>
  <c r="L150" i="2"/>
  <c r="O150" i="2" s="1"/>
  <c r="M150" i="2"/>
  <c r="N150" i="2"/>
  <c r="O153" i="2"/>
  <c r="P153" i="2"/>
  <c r="L154" i="2"/>
  <c r="L152" i="2" s="1"/>
  <c r="M154" i="2"/>
  <c r="N154" i="2"/>
  <c r="O156" i="2"/>
  <c r="P156" i="2"/>
  <c r="L157" i="2"/>
  <c r="L155" i="2" s="1"/>
  <c r="O155" i="2" s="1"/>
  <c r="M157" i="2"/>
  <c r="N157" i="2"/>
  <c r="N155" i="2" s="1"/>
  <c r="I159" i="2"/>
  <c r="I148" i="2" s="1"/>
  <c r="K148" i="2" s="1"/>
  <c r="L166" i="2"/>
  <c r="M166" i="2"/>
  <c r="P166" i="2" s="1"/>
  <c r="N166" i="2"/>
  <c r="O169" i="2"/>
  <c r="P169" i="2"/>
  <c r="L170" i="2"/>
  <c r="M170" i="2"/>
  <c r="N170" i="2"/>
  <c r="N168" i="2" s="1"/>
  <c r="O172" i="2"/>
  <c r="P172" i="2"/>
  <c r="L173" i="2"/>
  <c r="M173" i="2"/>
  <c r="P173" i="2" s="1"/>
  <c r="N173" i="2"/>
  <c r="N171" i="2" s="1"/>
  <c r="J174" i="2"/>
  <c r="I176" i="2"/>
  <c r="I174" i="2" s="1"/>
  <c r="I164" i="2" s="1"/>
  <c r="J177" i="2"/>
  <c r="L182" i="2"/>
  <c r="M182" i="2"/>
  <c r="N182" i="2"/>
  <c r="P182" i="2"/>
  <c r="O185" i="2"/>
  <c r="P185" i="2"/>
  <c r="L186" i="2"/>
  <c r="L184" i="2" s="1"/>
  <c r="M186" i="2"/>
  <c r="M184" i="2" s="1"/>
  <c r="N186" i="2"/>
  <c r="N184" i="2" s="1"/>
  <c r="O188" i="2"/>
  <c r="P188" i="2"/>
  <c r="L189" i="2"/>
  <c r="O189" i="2" s="1"/>
  <c r="M189" i="2"/>
  <c r="P189" i="2" s="1"/>
  <c r="N189" i="2"/>
  <c r="N187" i="2" s="1"/>
  <c r="J190" i="2"/>
  <c r="L191" i="2"/>
  <c r="O191" i="2" s="1"/>
  <c r="P191" i="2"/>
  <c r="I193" i="2"/>
  <c r="I190" i="2" s="1"/>
  <c r="J194" i="2"/>
  <c r="J197" i="2"/>
  <c r="N198" i="2"/>
  <c r="P198" i="2"/>
  <c r="L199" i="2"/>
  <c r="L200" i="2"/>
  <c r="L201" i="2"/>
  <c r="L202" i="2"/>
  <c r="I204" i="2"/>
  <c r="I197" i="2" s="1"/>
  <c r="K197" i="2" s="1"/>
  <c r="K206" i="2"/>
  <c r="K207" i="2"/>
  <c r="J208" i="2"/>
  <c r="N209" i="2"/>
  <c r="P209" i="2"/>
  <c r="L210" i="2"/>
  <c r="L211" i="2"/>
  <c r="L212" i="2"/>
  <c r="I214" i="2"/>
  <c r="K214" i="2" s="1"/>
  <c r="I215" i="2"/>
  <c r="J216" i="2"/>
  <c r="N217" i="2"/>
  <c r="P217" i="2"/>
  <c r="L218" i="2"/>
  <c r="L219" i="2"/>
  <c r="L220" i="2"/>
  <c r="I223" i="2"/>
  <c r="K223" i="2" s="1"/>
  <c r="I224" i="2"/>
  <c r="I216" i="2" s="1"/>
  <c r="K216" i="2" s="1"/>
  <c r="I225" i="2"/>
  <c r="K225" i="2" s="1"/>
  <c r="N228" i="2"/>
  <c r="N229" i="2"/>
  <c r="N230" i="2"/>
  <c r="N231" i="2"/>
  <c r="J233" i="2"/>
  <c r="I235" i="2"/>
  <c r="J235" i="2"/>
  <c r="K235" i="2"/>
  <c r="I236" i="2"/>
  <c r="J236" i="2"/>
  <c r="J237" i="2"/>
  <c r="J226" i="2" s="1"/>
  <c r="J180" i="2" s="1"/>
  <c r="N238" i="2"/>
  <c r="P238" i="2"/>
  <c r="L239" i="2"/>
  <c r="L240" i="2"/>
  <c r="L241" i="2"/>
  <c r="L242" i="2"/>
  <c r="I244" i="2"/>
  <c r="I237" i="2" s="1"/>
  <c r="K246" i="2"/>
  <c r="K247" i="2"/>
  <c r="J248" i="2"/>
  <c r="N249" i="2"/>
  <c r="P249" i="2"/>
  <c r="L250" i="2"/>
  <c r="L251" i="2"/>
  <c r="L252" i="2"/>
  <c r="L253" i="2"/>
  <c r="I255" i="2"/>
  <c r="K255" i="2" s="1"/>
  <c r="K257" i="2"/>
  <c r="K258" i="2"/>
  <c r="J260" i="2"/>
  <c r="L262" i="2"/>
  <c r="O262" i="2" s="1"/>
  <c r="M262" i="2"/>
  <c r="N262" i="2"/>
  <c r="O265" i="2"/>
  <c r="P265" i="2"/>
  <c r="L266" i="2"/>
  <c r="M266" i="2"/>
  <c r="N266" i="2"/>
  <c r="N264" i="2" s="1"/>
  <c r="O268" i="2"/>
  <c r="P268" i="2"/>
  <c r="L269" i="2"/>
  <c r="O269" i="2" s="1"/>
  <c r="M269" i="2"/>
  <c r="N269" i="2"/>
  <c r="N267" i="2" s="1"/>
  <c r="I271" i="2"/>
  <c r="I260" i="2" s="1"/>
  <c r="K260" i="2" s="1"/>
  <c r="J276" i="2"/>
  <c r="L278" i="2"/>
  <c r="O278" i="2" s="1"/>
  <c r="M278" i="2"/>
  <c r="N278" i="2"/>
  <c r="O281" i="2"/>
  <c r="P281" i="2"/>
  <c r="L282" i="2"/>
  <c r="M282" i="2"/>
  <c r="N282" i="2"/>
  <c r="N280" i="2" s="1"/>
  <c r="O284" i="2"/>
  <c r="P284" i="2"/>
  <c r="L285" i="2"/>
  <c r="O285" i="2" s="1"/>
  <c r="M285" i="2"/>
  <c r="N285" i="2"/>
  <c r="N283" i="2" s="1"/>
  <c r="I287" i="2"/>
  <c r="I288" i="2"/>
  <c r="I275" i="2" s="1"/>
  <c r="I290" i="2"/>
  <c r="K290" i="2" s="1"/>
  <c r="I291" i="2"/>
  <c r="K291" i="2" s="1"/>
  <c r="I293" i="2"/>
  <c r="K293" i="2" s="1"/>
  <c r="I294" i="2"/>
  <c r="K294" i="2" s="1"/>
  <c r="J297" i="2"/>
  <c r="L299" i="2"/>
  <c r="M299" i="2"/>
  <c r="N299" i="2"/>
  <c r="O302" i="2"/>
  <c r="P302" i="2"/>
  <c r="L303" i="2"/>
  <c r="M303" i="2"/>
  <c r="N303" i="2"/>
  <c r="N301" i="2" s="1"/>
  <c r="O305" i="2"/>
  <c r="P305" i="2"/>
  <c r="L306" i="2"/>
  <c r="M306" i="2"/>
  <c r="M304" i="2" s="1"/>
  <c r="P304" i="2" s="1"/>
  <c r="N306" i="2"/>
  <c r="N304" i="2" s="1"/>
  <c r="I309" i="2"/>
  <c r="I297" i="2" s="1"/>
  <c r="K297" i="2" s="1"/>
  <c r="I310" i="2"/>
  <c r="K310" i="2" s="1"/>
  <c r="I311" i="2"/>
  <c r="K311" i="2" s="1"/>
  <c r="I312" i="2"/>
  <c r="K312" i="2" s="1"/>
  <c r="J314" i="2"/>
  <c r="L316" i="2"/>
  <c r="O316" i="2" s="1"/>
  <c r="M316" i="2"/>
  <c r="N316" i="2"/>
  <c r="P316" i="2"/>
  <c r="O319" i="2"/>
  <c r="P319" i="2"/>
  <c r="L320" i="2"/>
  <c r="L318" i="2" s="1"/>
  <c r="M320" i="2"/>
  <c r="N320" i="2"/>
  <c r="N318" i="2" s="1"/>
  <c r="O322" i="2"/>
  <c r="P322" i="2"/>
  <c r="L323" i="2"/>
  <c r="M323" i="2"/>
  <c r="M321" i="2" s="1"/>
  <c r="P321" i="2" s="1"/>
  <c r="N323" i="2"/>
  <c r="N321" i="2" s="1"/>
  <c r="I325" i="2"/>
  <c r="I314" i="2" s="1"/>
  <c r="I327" i="2"/>
  <c r="L329" i="2"/>
  <c r="M329" i="2"/>
  <c r="P329" i="2" s="1"/>
  <c r="N329" i="2"/>
  <c r="O329" i="2"/>
  <c r="O332" i="2"/>
  <c r="P332" i="2"/>
  <c r="L333" i="2"/>
  <c r="L331" i="2" s="1"/>
  <c r="M333" i="2"/>
  <c r="M331" i="2" s="1"/>
  <c r="N333" i="2"/>
  <c r="N331" i="2" s="1"/>
  <c r="O335" i="2"/>
  <c r="P335" i="2"/>
  <c r="L336" i="2"/>
  <c r="L334" i="2" s="1"/>
  <c r="O334" i="2" s="1"/>
  <c r="M336" i="2"/>
  <c r="M334" i="2" s="1"/>
  <c r="P334" i="2" s="1"/>
  <c r="N336" i="2"/>
  <c r="N334" i="2" s="1"/>
  <c r="D337" i="2"/>
  <c r="I338" i="2"/>
  <c r="J338" i="2"/>
  <c r="I340" i="2"/>
  <c r="J340" i="2"/>
  <c r="J341" i="2"/>
  <c r="J342" i="2"/>
  <c r="J343" i="2"/>
  <c r="L346" i="2"/>
  <c r="M346" i="2"/>
  <c r="P346" i="2" s="1"/>
  <c r="N346" i="2"/>
  <c r="O349" i="2"/>
  <c r="P349" i="2"/>
  <c r="L350" i="2"/>
  <c r="M350" i="2"/>
  <c r="N350" i="2"/>
  <c r="N348" i="2" s="1"/>
  <c r="O352" i="2"/>
  <c r="P352" i="2"/>
  <c r="L353" i="2"/>
  <c r="L351" i="2" s="1"/>
  <c r="M353" i="2"/>
  <c r="N353" i="2"/>
  <c r="I355" i="2"/>
  <c r="J358" i="2"/>
  <c r="K358" i="2"/>
  <c r="I359" i="2"/>
  <c r="J359" i="2"/>
  <c r="I360" i="2"/>
  <c r="J360" i="2"/>
  <c r="J361" i="2"/>
  <c r="K361" i="2"/>
  <c r="I362" i="2"/>
  <c r="J362" i="2"/>
  <c r="J355" i="2" s="1"/>
  <c r="J363" i="2"/>
  <c r="K363" i="2"/>
  <c r="I365" i="2"/>
  <c r="J368" i="2"/>
  <c r="K368" i="2"/>
  <c r="I369" i="2"/>
  <c r="J369" i="2"/>
  <c r="I370" i="2"/>
  <c r="J370" i="2"/>
  <c r="J371" i="2"/>
  <c r="K371" i="2"/>
  <c r="I372" i="2"/>
  <c r="J372" i="2"/>
  <c r="J365" i="2" s="1"/>
  <c r="A373" i="2"/>
  <c r="J373" i="2"/>
  <c r="K373" i="2"/>
  <c r="I374" i="2"/>
  <c r="J377" i="2"/>
  <c r="K377" i="2"/>
  <c r="I378" i="2"/>
  <c r="J378" i="2"/>
  <c r="I379" i="2"/>
  <c r="J379" i="2"/>
  <c r="J380" i="2"/>
  <c r="K380" i="2"/>
  <c r="I381" i="2"/>
  <c r="J381" i="2"/>
  <c r="J374" i="2" s="1"/>
  <c r="A382" i="2"/>
  <c r="J382" i="2"/>
  <c r="K382" i="2"/>
  <c r="D384" i="2"/>
  <c r="I385" i="2"/>
  <c r="J385" i="2"/>
  <c r="I388" i="2"/>
  <c r="K388" i="2" s="1"/>
  <c r="J388" i="2"/>
  <c r="L390" i="2"/>
  <c r="O390" i="2" s="1"/>
  <c r="M390" i="2"/>
  <c r="P390" i="2" s="1"/>
  <c r="N390" i="2"/>
  <c r="O393" i="2"/>
  <c r="P393" i="2"/>
  <c r="L394" i="2"/>
  <c r="O394" i="2" s="1"/>
  <c r="M394" i="2"/>
  <c r="P394" i="2" s="1"/>
  <c r="N394" i="2"/>
  <c r="N392" i="2" s="1"/>
  <c r="O396" i="2"/>
  <c r="P396" i="2"/>
  <c r="L397" i="2"/>
  <c r="O397" i="2" s="1"/>
  <c r="M397" i="2"/>
  <c r="M395" i="2" s="1"/>
  <c r="P395" i="2" s="1"/>
  <c r="N397" i="2"/>
  <c r="N395" i="2" s="1"/>
  <c r="K399" i="2"/>
  <c r="K400" i="2"/>
  <c r="I401" i="2"/>
  <c r="K401" i="2" s="1"/>
  <c r="J401" i="2"/>
  <c r="L403" i="2"/>
  <c r="M403" i="2"/>
  <c r="N403" i="2"/>
  <c r="O403" i="2"/>
  <c r="O406" i="2"/>
  <c r="P406" i="2"/>
  <c r="L407" i="2"/>
  <c r="L405" i="2" s="1"/>
  <c r="O405" i="2" s="1"/>
  <c r="M407" i="2"/>
  <c r="M405" i="2" s="1"/>
  <c r="P405" i="2" s="1"/>
  <c r="N407" i="2"/>
  <c r="N405" i="2" s="1"/>
  <c r="O409" i="2"/>
  <c r="P409" i="2"/>
  <c r="L410" i="2"/>
  <c r="L408" i="2" s="1"/>
  <c r="O408" i="2" s="1"/>
  <c r="M410" i="2"/>
  <c r="M408" i="2" s="1"/>
  <c r="P408" i="2" s="1"/>
  <c r="N410" i="2"/>
  <c r="N408" i="2" s="1"/>
  <c r="K412" i="2"/>
  <c r="K413" i="2"/>
  <c r="J418" i="2"/>
  <c r="L420" i="2"/>
  <c r="O420" i="2" s="1"/>
  <c r="M420" i="2"/>
  <c r="N420" i="2"/>
  <c r="O423" i="2"/>
  <c r="P423" i="2"/>
  <c r="L424" i="2"/>
  <c r="L422" i="2" s="1"/>
  <c r="N424" i="2"/>
  <c r="N421" i="2" s="1"/>
  <c r="N419" i="2" s="1"/>
  <c r="M429" i="2"/>
  <c r="P429" i="2" s="1"/>
  <c r="N429" i="2"/>
  <c r="O430" i="2"/>
  <c r="P430" i="2"/>
  <c r="L431" i="2"/>
  <c r="O431" i="2" s="1"/>
  <c r="P431" i="2"/>
  <c r="J434" i="2"/>
  <c r="I435" i="2"/>
  <c r="I433" i="2" s="1"/>
  <c r="I417" i="2" s="1"/>
  <c r="I437" i="2"/>
  <c r="I438" i="2"/>
  <c r="K438" i="2" s="1"/>
  <c r="I439" i="2"/>
  <c r="K439" i="2" s="1"/>
  <c r="I440" i="2"/>
  <c r="K440" i="2" s="1"/>
  <c r="I441" i="2"/>
  <c r="K441" i="2" s="1"/>
  <c r="J442" i="2"/>
  <c r="J443" i="2"/>
  <c r="L445" i="2"/>
  <c r="M445" i="2"/>
  <c r="P445" i="2" s="1"/>
  <c r="N445" i="2"/>
  <c r="N447" i="2"/>
  <c r="O448" i="2"/>
  <c r="P448" i="2"/>
  <c r="L449" i="2"/>
  <c r="M449" i="2" s="1"/>
  <c r="M447" i="2" s="1"/>
  <c r="N449" i="2"/>
  <c r="N446" i="2" s="1"/>
  <c r="N444" i="2" s="1"/>
  <c r="M454" i="2"/>
  <c r="N454" i="2"/>
  <c r="P454" i="2"/>
  <c r="O455" i="2"/>
  <c r="P455" i="2"/>
  <c r="L456" i="2"/>
  <c r="O456" i="2" s="1"/>
  <c r="P456" i="2"/>
  <c r="K458" i="2"/>
  <c r="I460" i="2"/>
  <c r="I442" i="2" s="1"/>
  <c r="K442" i="2" s="1"/>
  <c r="I462" i="2"/>
  <c r="I443" i="2" s="1"/>
  <c r="K443" i="2" s="1"/>
  <c r="I463" i="2"/>
  <c r="I464" i="2"/>
  <c r="I465" i="2"/>
  <c r="J465" i="2"/>
  <c r="I466" i="2"/>
  <c r="K466" i="2" s="1"/>
  <c r="J466" i="2"/>
  <c r="L468" i="2"/>
  <c r="M468" i="2"/>
  <c r="P468" i="2" s="1"/>
  <c r="N468" i="2"/>
  <c r="N467" i="2" s="1"/>
  <c r="N469" i="2"/>
  <c r="O471" i="2"/>
  <c r="P471" i="2"/>
  <c r="L472" i="2"/>
  <c r="N472" i="2"/>
  <c r="N470" i="2" s="1"/>
  <c r="M477" i="2"/>
  <c r="P477" i="2" s="1"/>
  <c r="N477" i="2"/>
  <c r="O478" i="2"/>
  <c r="P478" i="2"/>
  <c r="L479" i="2"/>
  <c r="L477" i="2" s="1"/>
  <c r="O477" i="2" s="1"/>
  <c r="P479" i="2"/>
  <c r="I483" i="2"/>
  <c r="K483" i="2" s="1"/>
  <c r="I485" i="2"/>
  <c r="K485" i="2" s="1"/>
  <c r="I487" i="2"/>
  <c r="K487" i="2" s="1"/>
  <c r="I489" i="2"/>
  <c r="K489" i="2" s="1"/>
  <c r="I492" i="2"/>
  <c r="K492" i="2" s="1"/>
  <c r="I495" i="2"/>
  <c r="K495" i="2" s="1"/>
  <c r="I498" i="2"/>
  <c r="K498" i="2" s="1"/>
  <c r="J500" i="2"/>
  <c r="K500" i="2"/>
  <c r="J501" i="2"/>
  <c r="K501" i="2"/>
  <c r="L503" i="2"/>
  <c r="M503" i="2"/>
  <c r="N503" i="2"/>
  <c r="O503" i="2"/>
  <c r="L504" i="2"/>
  <c r="O504" i="2" s="1"/>
  <c r="M504" i="2"/>
  <c r="P504" i="2"/>
  <c r="L505" i="2"/>
  <c r="O505" i="2" s="1"/>
  <c r="M505" i="2"/>
  <c r="P505" i="2" s="1"/>
  <c r="O506" i="2"/>
  <c r="P506" i="2"/>
  <c r="N507" i="2"/>
  <c r="N505" i="2" s="1"/>
  <c r="O507" i="2"/>
  <c r="P507" i="2"/>
  <c r="L512" i="2"/>
  <c r="M512" i="2"/>
  <c r="N512" i="2"/>
  <c r="O512" i="2"/>
  <c r="P512" i="2"/>
  <c r="O513" i="2"/>
  <c r="P513" i="2"/>
  <c r="O514" i="2"/>
  <c r="P514" i="2"/>
  <c r="K516" i="2"/>
  <c r="J517" i="2"/>
  <c r="K517" i="2"/>
  <c r="L524" i="2"/>
  <c r="M524" i="2"/>
  <c r="P524" i="2" s="1"/>
  <c r="N524" i="2"/>
  <c r="O524" i="2"/>
  <c r="O527" i="2"/>
  <c r="P527" i="2"/>
  <c r="L528" i="2"/>
  <c r="N528" i="2"/>
  <c r="N526" i="2" s="1"/>
  <c r="M533" i="2"/>
  <c r="P533" i="2" s="1"/>
  <c r="N533" i="2"/>
  <c r="O534" i="2"/>
  <c r="P534" i="2"/>
  <c r="L535" i="2"/>
  <c r="P535" i="2"/>
  <c r="I537" i="2"/>
  <c r="I538" i="2"/>
  <c r="K538" i="2" s="1"/>
  <c r="I539" i="2"/>
  <c r="K539" i="2" s="1"/>
  <c r="I540" i="2"/>
  <c r="K540" i="2" s="1"/>
  <c r="I541" i="2"/>
  <c r="K541" i="2" s="1"/>
  <c r="I542" i="2"/>
  <c r="K542" i="2" s="1"/>
  <c r="L545" i="2"/>
  <c r="O545" i="2" s="1"/>
  <c r="O548" i="2"/>
  <c r="P548" i="2"/>
  <c r="L549" i="2"/>
  <c r="O549" i="2" s="1"/>
  <c r="N549" i="2"/>
  <c r="N546" i="2" s="1"/>
  <c r="M555" i="2"/>
  <c r="N555" i="2"/>
  <c r="N545" i="2" s="1"/>
  <c r="N544" i="2" s="1"/>
  <c r="O556" i="2"/>
  <c r="P556" i="2"/>
  <c r="L557" i="2"/>
  <c r="L555" i="2" s="1"/>
  <c r="O555" i="2" s="1"/>
  <c r="P557" i="2"/>
  <c r="I560" i="2"/>
  <c r="J560" i="2"/>
  <c r="I561" i="2"/>
  <c r="K561" i="2" s="1"/>
  <c r="J561" i="2"/>
  <c r="I568" i="2"/>
  <c r="K568" i="2" s="1"/>
  <c r="J568" i="2"/>
  <c r="I569" i="2"/>
  <c r="J569" i="2"/>
  <c r="I576" i="2"/>
  <c r="I559" i="2" s="1"/>
  <c r="I543" i="2" s="1"/>
  <c r="I577" i="2"/>
  <c r="J582" i="2"/>
  <c r="J576" i="2" s="1"/>
  <c r="J583" i="2"/>
  <c r="J577" i="2" s="1"/>
  <c r="I593" i="2"/>
  <c r="I592" i="2" s="1"/>
  <c r="I594" i="2"/>
  <c r="J594" i="2"/>
  <c r="J595" i="2"/>
  <c r="J593" i="2" s="1"/>
  <c r="J596" i="2"/>
  <c r="J603" i="2"/>
  <c r="J604" i="2"/>
  <c r="J611" i="2"/>
  <c r="K611" i="2"/>
  <c r="J612" i="2"/>
  <c r="K612" i="2"/>
  <c r="J613" i="2"/>
  <c r="K613" i="2"/>
  <c r="I620" i="2"/>
  <c r="J620" i="2"/>
  <c r="I621" i="2"/>
  <c r="K621" i="2" s="1"/>
  <c r="J621" i="2"/>
  <c r="L630" i="2"/>
  <c r="M630" i="2"/>
  <c r="P630" i="2" s="1"/>
  <c r="N630" i="2"/>
  <c r="O630" i="2"/>
  <c r="O633" i="2"/>
  <c r="P633" i="2"/>
  <c r="L634" i="2"/>
  <c r="M634" i="2" s="1"/>
  <c r="M631" i="2" s="1"/>
  <c r="N634" i="2"/>
  <c r="N632" i="2" s="1"/>
  <c r="M639" i="2"/>
  <c r="P639" i="2" s="1"/>
  <c r="N639" i="2"/>
  <c r="O640" i="2"/>
  <c r="P640" i="2"/>
  <c r="L641" i="2"/>
  <c r="O641" i="2" s="1"/>
  <c r="P641" i="2"/>
  <c r="I643" i="2"/>
  <c r="K643" i="2" s="1"/>
  <c r="I644" i="2"/>
  <c r="K644" i="2" s="1"/>
  <c r="J645" i="2"/>
  <c r="K645" i="2"/>
  <c r="J646" i="2"/>
  <c r="K646" i="2"/>
  <c r="I647" i="2"/>
  <c r="J647" i="2"/>
  <c r="J648" i="2"/>
  <c r="K648" i="2"/>
  <c r="I649" i="2"/>
  <c r="J649" i="2"/>
  <c r="J650" i="2"/>
  <c r="K650" i="2"/>
  <c r="I651" i="2"/>
  <c r="I628" i="2" s="1"/>
  <c r="J651" i="2"/>
  <c r="J628" i="2" s="1"/>
  <c r="A652" i="2"/>
  <c r="J652" i="2"/>
  <c r="K652" i="2"/>
  <c r="L656" i="2"/>
  <c r="O656" i="2" s="1"/>
  <c r="M656" i="2"/>
  <c r="P656" i="2" s="1"/>
  <c r="N656" i="2"/>
  <c r="O659" i="2"/>
  <c r="P659" i="2"/>
  <c r="L660" i="2"/>
  <c r="M660" i="2" s="1"/>
  <c r="M658" i="2" s="1"/>
  <c r="P658" i="2" s="1"/>
  <c r="N660" i="2"/>
  <c r="N658" i="2" s="1"/>
  <c r="L665" i="2"/>
  <c r="O665" i="2" s="1"/>
  <c r="M665" i="2"/>
  <c r="P665" i="2" s="1"/>
  <c r="N665" i="2"/>
  <c r="O666" i="2"/>
  <c r="P666" i="2"/>
  <c r="O667" i="2"/>
  <c r="P667" i="2"/>
  <c r="I669" i="2"/>
  <c r="K672" i="2" s="1"/>
  <c r="I670" i="2"/>
  <c r="K670" i="2" s="1"/>
  <c r="I671" i="2"/>
  <c r="K671" i="2" s="1"/>
  <c r="J675" i="2"/>
  <c r="J669" i="2" s="1"/>
  <c r="J654" i="2" s="1"/>
  <c r="I678" i="2"/>
  <c r="K678" i="2" s="1"/>
  <c r="J679" i="2"/>
  <c r="J678" i="2" s="1"/>
  <c r="L686" i="2"/>
  <c r="M686" i="2"/>
  <c r="P686" i="2" s="1"/>
  <c r="N686" i="2"/>
  <c r="L690" i="2"/>
  <c r="N690" i="2"/>
  <c r="L695" i="2"/>
  <c r="O695" i="2" s="1"/>
  <c r="M695" i="2"/>
  <c r="P695" i="2" s="1"/>
  <c r="N695" i="2"/>
  <c r="O696" i="2"/>
  <c r="P696" i="2"/>
  <c r="O697" i="2"/>
  <c r="P697" i="2"/>
  <c r="I699" i="2"/>
  <c r="K699" i="2" s="1"/>
  <c r="J699" i="2"/>
  <c r="I700" i="2"/>
  <c r="K700" i="2" s="1"/>
  <c r="J700" i="2"/>
  <c r="I701" i="2"/>
  <c r="K701" i="2" s="1"/>
  <c r="J701" i="2"/>
  <c r="I704" i="2"/>
  <c r="I707" i="2"/>
  <c r="I708" i="2"/>
  <c r="K708" i="2" s="1"/>
  <c r="J708" i="2"/>
  <c r="J718" i="2"/>
  <c r="J719" i="2"/>
  <c r="I720" i="2"/>
  <c r="K720" i="2" s="1"/>
  <c r="J720" i="2"/>
  <c r="I721" i="2"/>
  <c r="I722" i="2"/>
  <c r="I723" i="2"/>
  <c r="J723" i="2"/>
  <c r="J724" i="2"/>
  <c r="I725" i="2"/>
  <c r="J725" i="2"/>
  <c r="I726" i="2"/>
  <c r="K726" i="2" s="1"/>
  <c r="J726" i="2"/>
  <c r="J727" i="2"/>
  <c r="I728" i="2"/>
  <c r="K728" i="2" s="1"/>
  <c r="J728" i="2"/>
  <c r="I729" i="2"/>
  <c r="J729" i="2"/>
  <c r="J736" i="2"/>
  <c r="K736" i="2"/>
  <c r="L738" i="2"/>
  <c r="L737" i="2" s="1"/>
  <c r="O737" i="2" s="1"/>
  <c r="M738" i="2"/>
  <c r="P738" i="2" s="1"/>
  <c r="N738" i="2"/>
  <c r="O738" i="2"/>
  <c r="L739" i="2"/>
  <c r="M739" i="2"/>
  <c r="O739" i="2"/>
  <c r="P739" i="2"/>
  <c r="L740" i="2"/>
  <c r="O740" i="2" s="1"/>
  <c r="M740" i="2"/>
  <c r="P740" i="2"/>
  <c r="O741" i="2"/>
  <c r="P741" i="2"/>
  <c r="N742" i="2"/>
  <c r="N740" i="2" s="1"/>
  <c r="O742" i="2"/>
  <c r="P742" i="2"/>
  <c r="L747" i="2"/>
  <c r="O747" i="2" s="1"/>
  <c r="M747" i="2"/>
  <c r="P747" i="2" s="1"/>
  <c r="N747" i="2"/>
  <c r="O748" i="2"/>
  <c r="P748" i="2"/>
  <c r="O749" i="2"/>
  <c r="P749" i="2"/>
  <c r="J753" i="2"/>
  <c r="K753" i="2"/>
  <c r="M754" i="2"/>
  <c r="P754" i="2" s="1"/>
  <c r="L755" i="2"/>
  <c r="M755" i="2"/>
  <c r="P755" i="2" s="1"/>
  <c r="N755" i="2"/>
  <c r="O755" i="2"/>
  <c r="L756" i="2"/>
  <c r="O756" i="2" s="1"/>
  <c r="M756" i="2"/>
  <c r="P756" i="2" s="1"/>
  <c r="L757" i="2"/>
  <c r="M757" i="2"/>
  <c r="P757" i="2" s="1"/>
  <c r="N757" i="2"/>
  <c r="O757" i="2"/>
  <c r="O758" i="2"/>
  <c r="P758" i="2"/>
  <c r="N759" i="2"/>
  <c r="N756" i="2" s="1"/>
  <c r="O759" i="2"/>
  <c r="P759" i="2"/>
  <c r="L764" i="2"/>
  <c r="O764" i="2" s="1"/>
  <c r="M764" i="2"/>
  <c r="P764" i="2" s="1"/>
  <c r="N764" i="2"/>
  <c r="O765" i="2"/>
  <c r="P765" i="2"/>
  <c r="O766" i="2"/>
  <c r="P766" i="2"/>
  <c r="J769" i="2"/>
  <c r="K769" i="2"/>
  <c r="L771" i="2"/>
  <c r="O771" i="2" s="1"/>
  <c r="M771" i="2"/>
  <c r="P771" i="2" s="1"/>
  <c r="N771" i="2"/>
  <c r="L772" i="2"/>
  <c r="M772" i="2"/>
  <c r="P772" i="2" s="1"/>
  <c r="O772" i="2"/>
  <c r="L773" i="2"/>
  <c r="O773" i="2" s="1"/>
  <c r="M773" i="2"/>
  <c r="P773" i="2" s="1"/>
  <c r="O774" i="2"/>
  <c r="P774" i="2"/>
  <c r="N775" i="2"/>
  <c r="N772" i="2" s="1"/>
  <c r="O775" i="2"/>
  <c r="P775" i="2"/>
  <c r="L780" i="2"/>
  <c r="O780" i="2" s="1"/>
  <c r="M780" i="2"/>
  <c r="N780" i="2"/>
  <c r="P780" i="2"/>
  <c r="O781" i="2"/>
  <c r="P781" i="2"/>
  <c r="O782" i="2"/>
  <c r="P782" i="2"/>
  <c r="M786" i="2"/>
  <c r="P786" i="2" s="1"/>
  <c r="L787" i="2"/>
  <c r="O787" i="2" s="1"/>
  <c r="M787" i="2"/>
  <c r="N787" i="2"/>
  <c r="P787" i="2"/>
  <c r="M788" i="2"/>
  <c r="N788" i="2"/>
  <c r="P788" i="2"/>
  <c r="M789" i="2"/>
  <c r="P789" i="2"/>
  <c r="O790" i="2"/>
  <c r="P790" i="2"/>
  <c r="L791" i="2"/>
  <c r="L788" i="2" s="1"/>
  <c r="O788" i="2" s="1"/>
  <c r="N791" i="2"/>
  <c r="N789" i="2" s="1"/>
  <c r="P791" i="2"/>
  <c r="L796" i="2"/>
  <c r="O796" i="2" s="1"/>
  <c r="M796" i="2"/>
  <c r="P796" i="2" s="1"/>
  <c r="N796" i="2"/>
  <c r="O797" i="2"/>
  <c r="P797" i="2"/>
  <c r="O798" i="2"/>
  <c r="P798" i="2"/>
  <c r="I800" i="2"/>
  <c r="I785" i="2" s="1"/>
  <c r="K785" i="2" s="1"/>
  <c r="J800" i="2"/>
  <c r="J785" i="2" s="1"/>
  <c r="J801" i="2"/>
  <c r="K802" i="2"/>
  <c r="J804" i="2"/>
  <c r="K804" i="2"/>
  <c r="L806" i="2"/>
  <c r="M806" i="2"/>
  <c r="P806" i="2" s="1"/>
  <c r="N806" i="2"/>
  <c r="O806" i="2"/>
  <c r="L807" i="2"/>
  <c r="O807" i="2" s="1"/>
  <c r="M807" i="2"/>
  <c r="P807" i="2" s="1"/>
  <c r="L808" i="2"/>
  <c r="O808" i="2" s="1"/>
  <c r="M808" i="2"/>
  <c r="P808" i="2" s="1"/>
  <c r="O809" i="2"/>
  <c r="P809" i="2"/>
  <c r="N810" i="2"/>
  <c r="N807" i="2" s="1"/>
  <c r="N805" i="2" s="1"/>
  <c r="O810" i="2"/>
  <c r="P810" i="2"/>
  <c r="L815" i="2"/>
  <c r="O815" i="2" s="1"/>
  <c r="M815" i="2"/>
  <c r="P815" i="2" s="1"/>
  <c r="N815" i="2"/>
  <c r="O816" i="2"/>
  <c r="P816" i="2"/>
  <c r="O817" i="2"/>
  <c r="P817" i="2"/>
  <c r="H820" i="2"/>
  <c r="I821" i="2"/>
  <c r="J821" i="2"/>
  <c r="I822" i="2"/>
  <c r="J822" i="2"/>
  <c r="I823" i="2"/>
  <c r="J823" i="2"/>
  <c r="I824" i="2"/>
  <c r="J824" i="2"/>
  <c r="I825" i="2"/>
  <c r="J825" i="2"/>
  <c r="I826" i="2"/>
  <c r="J826" i="2"/>
  <c r="I827" i="2"/>
  <c r="J827" i="2"/>
  <c r="I828" i="2"/>
  <c r="J828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M807" i="1"/>
  <c r="P807" i="1" s="1"/>
  <c r="L807" i="1"/>
  <c r="O807" i="1" s="1"/>
  <c r="N806" i="1"/>
  <c r="M806" i="1"/>
  <c r="P806" i="1" s="1"/>
  <c r="L806" i="1"/>
  <c r="O806" i="1" s="1"/>
  <c r="N805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9" i="1" s="1"/>
  <c r="P790" i="1"/>
  <c r="O790" i="1"/>
  <c r="O787" i="1"/>
  <c r="N787" i="1"/>
  <c r="M787" i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N772" i="1" s="1"/>
  <c r="P774" i="1"/>
  <c r="O774" i="1"/>
  <c r="P773" i="1"/>
  <c r="M773" i="1"/>
  <c r="L773" i="1"/>
  <c r="O773" i="1" s="1"/>
  <c r="P772" i="1"/>
  <c r="O772" i="1"/>
  <c r="M772" i="1"/>
  <c r="L772" i="1"/>
  <c r="P771" i="1"/>
  <c r="O771" i="1"/>
  <c r="N771" i="1"/>
  <c r="N770" i="1" s="1"/>
  <c r="M771" i="1"/>
  <c r="L771" i="1"/>
  <c r="L770" i="1" s="1"/>
  <c r="O770" i="1" s="1"/>
  <c r="M770" i="1"/>
  <c r="P770" i="1" s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N756" i="1" s="1"/>
  <c r="P758" i="1"/>
  <c r="O758" i="1"/>
  <c r="P757" i="1"/>
  <c r="M757" i="1"/>
  <c r="L757" i="1"/>
  <c r="O757" i="1" s="1"/>
  <c r="P756" i="1"/>
  <c r="O756" i="1"/>
  <c r="M756" i="1"/>
  <c r="L756" i="1"/>
  <c r="P755" i="1"/>
  <c r="O755" i="1"/>
  <c r="N755" i="1"/>
  <c r="N754" i="1" s="1"/>
  <c r="M755" i="1"/>
  <c r="L755" i="1"/>
  <c r="L754" i="1" s="1"/>
  <c r="O754" i="1" s="1"/>
  <c r="M754" i="1"/>
  <c r="P754" i="1" s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N739" i="1" s="1"/>
  <c r="P741" i="1"/>
  <c r="O741" i="1"/>
  <c r="P740" i="1"/>
  <c r="M740" i="1"/>
  <c r="L740" i="1"/>
  <c r="O740" i="1" s="1"/>
  <c r="P739" i="1"/>
  <c r="O739" i="1"/>
  <c r="M739" i="1"/>
  <c r="L739" i="1"/>
  <c r="P738" i="1"/>
  <c r="O738" i="1"/>
  <c r="N738" i="1"/>
  <c r="N737" i="1" s="1"/>
  <c r="M738" i="1"/>
  <c r="L738" i="1"/>
  <c r="L737" i="1" s="1"/>
  <c r="O737" i="1" s="1"/>
  <c r="M737" i="1"/>
  <c r="P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M688" i="1" s="1"/>
  <c r="L690" i="1"/>
  <c r="L687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K673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8" i="1" s="1"/>
  <c r="L660" i="1"/>
  <c r="P659" i="1"/>
  <c r="O659" i="1"/>
  <c r="P656" i="1"/>
  <c r="O656" i="1"/>
  <c r="N656" i="1"/>
  <c r="M656" i="1"/>
  <c r="L656" i="1"/>
  <c r="K652" i="1"/>
  <c r="J652" i="1"/>
  <c r="A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M634" i="1"/>
  <c r="M631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M545" i="1"/>
  <c r="P545" i="1" s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L528" i="1"/>
  <c r="L526" i="1" s="1"/>
  <c r="P527" i="1"/>
  <c r="O527" i="1"/>
  <c r="P524" i="1"/>
  <c r="O524" i="1"/>
  <c r="N524" i="1"/>
  <c r="M524" i="1"/>
  <c r="L524" i="1"/>
  <c r="K517" i="1"/>
  <c r="J517" i="1"/>
  <c r="J501" i="1" s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4" i="1" s="1"/>
  <c r="N502" i="1" s="1"/>
  <c r="P506" i="1"/>
  <c r="O506" i="1"/>
  <c r="P505" i="1"/>
  <c r="O505" i="1"/>
  <c r="M505" i="1"/>
  <c r="L505" i="1"/>
  <c r="O504" i="1"/>
  <c r="M504" i="1"/>
  <c r="M502" i="1" s="1"/>
  <c r="P502" i="1" s="1"/>
  <c r="L504" i="1"/>
  <c r="N503" i="1"/>
  <c r="M503" i="1"/>
  <c r="P503" i="1" s="1"/>
  <c r="L503" i="1"/>
  <c r="L502" i="1" s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M470" i="1" s="1"/>
  <c r="L472" i="1"/>
  <c r="L470" i="1" s="1"/>
  <c r="P471" i="1"/>
  <c r="O471" i="1"/>
  <c r="N468" i="1"/>
  <c r="M468" i="1"/>
  <c r="P468" i="1" s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L429" i="1" s="1"/>
  <c r="O429" i="1" s="1"/>
  <c r="P430" i="1"/>
  <c r="O430" i="1"/>
  <c r="P429" i="1"/>
  <c r="N429" i="1"/>
  <c r="M429" i="1"/>
  <c r="N428" i="1"/>
  <c r="N427" i="1"/>
  <c r="N426" i="1"/>
  <c r="N425" i="1"/>
  <c r="M424" i="1"/>
  <c r="M422" i="1" s="1"/>
  <c r="L424" i="1"/>
  <c r="P423" i="1"/>
  <c r="O423" i="1"/>
  <c r="P420" i="1"/>
  <c r="N420" i="1"/>
  <c r="M420" i="1"/>
  <c r="L420" i="1"/>
  <c r="O420" i="1" s="1"/>
  <c r="J413" i="1"/>
  <c r="I413" i="1"/>
  <c r="K413" i="1" s="1"/>
  <c r="J412" i="1"/>
  <c r="J401" i="1" s="1"/>
  <c r="I412" i="1"/>
  <c r="I401" i="1" s="1"/>
  <c r="K401" i="1" s="1"/>
  <c r="N410" i="1"/>
  <c r="N408" i="1" s="1"/>
  <c r="M410" i="1"/>
  <c r="L410" i="1"/>
  <c r="O410" i="1" s="1"/>
  <c r="P409" i="1"/>
  <c r="O409" i="1"/>
  <c r="N407" i="1"/>
  <c r="N405" i="1" s="1"/>
  <c r="M407" i="1"/>
  <c r="P407" i="1" s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L397" i="1"/>
  <c r="O397" i="1" s="1"/>
  <c r="P396" i="1"/>
  <c r="O396" i="1"/>
  <c r="N394" i="1"/>
  <c r="N392" i="1" s="1"/>
  <c r="M394" i="1"/>
  <c r="P394" i="1" s="1"/>
  <c r="L394" i="1"/>
  <c r="O394" i="1" s="1"/>
  <c r="P393" i="1"/>
  <c r="O393" i="1"/>
  <c r="P390" i="1"/>
  <c r="N390" i="1"/>
  <c r="M390" i="1"/>
  <c r="L390" i="1"/>
  <c r="J385" i="1"/>
  <c r="I385" i="1"/>
  <c r="D384" i="1"/>
  <c r="K382" i="1"/>
  <c r="J382" i="1"/>
  <c r="A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A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A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M350" i="1"/>
  <c r="M348" i="1" s="1"/>
  <c r="L350" i="1"/>
  <c r="P349" i="1"/>
  <c r="O349" i="1"/>
  <c r="N346" i="1"/>
  <c r="M346" i="1"/>
  <c r="P346" i="1" s="1"/>
  <c r="L346" i="1"/>
  <c r="O346" i="1" s="1"/>
  <c r="J343" i="1"/>
  <c r="J342" i="1"/>
  <c r="J341" i="1"/>
  <c r="J340" i="1"/>
  <c r="I340" i="1"/>
  <c r="J338" i="1"/>
  <c r="I338" i="1"/>
  <c r="D337" i="1"/>
  <c r="N336" i="1"/>
  <c r="N334" i="1" s="1"/>
  <c r="M336" i="1"/>
  <c r="M334" i="1" s="1"/>
  <c r="L336" i="1"/>
  <c r="P335" i="1"/>
  <c r="O335" i="1"/>
  <c r="N333" i="1"/>
  <c r="M333" i="1"/>
  <c r="M331" i="1" s="1"/>
  <c r="L333" i="1"/>
  <c r="L331" i="1" s="1"/>
  <c r="P332" i="1"/>
  <c r="O332" i="1"/>
  <c r="P329" i="1"/>
  <c r="O329" i="1"/>
  <c r="N329" i="1"/>
  <c r="M329" i="1"/>
  <c r="L329" i="1"/>
  <c r="I327" i="1"/>
  <c r="J325" i="1"/>
  <c r="I325" i="1"/>
  <c r="I314" i="1" s="1"/>
  <c r="N323" i="1"/>
  <c r="M323" i="1"/>
  <c r="P323" i="1" s="1"/>
  <c r="L323" i="1"/>
  <c r="O323" i="1" s="1"/>
  <c r="P322" i="1"/>
  <c r="O322" i="1"/>
  <c r="N320" i="1"/>
  <c r="N318" i="1" s="1"/>
  <c r="M320" i="1"/>
  <c r="L320" i="1"/>
  <c r="L318" i="1" s="1"/>
  <c r="P319" i="1"/>
  <c r="O319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P305" i="1"/>
  <c r="O305" i="1"/>
  <c r="N303" i="1"/>
  <c r="M303" i="1"/>
  <c r="M301" i="1" s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P284" i="1"/>
  <c r="O284" i="1"/>
  <c r="N282" i="1"/>
  <c r="N280" i="1" s="1"/>
  <c r="M282" i="1"/>
  <c r="M280" i="1" s="1"/>
  <c r="L282" i="1"/>
  <c r="P281" i="1"/>
  <c r="O281" i="1"/>
  <c r="P278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P268" i="1"/>
  <c r="O268" i="1"/>
  <c r="N266" i="1"/>
  <c r="M266" i="1"/>
  <c r="M264" i="1" s="1"/>
  <c r="L266" i="1"/>
  <c r="P265" i="1"/>
  <c r="O265" i="1"/>
  <c r="P262" i="1"/>
  <c r="O262" i="1"/>
  <c r="N262" i="1"/>
  <c r="M262" i="1"/>
  <c r="L262" i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L189" i="1"/>
  <c r="O189" i="1" s="1"/>
  <c r="P188" i="1"/>
  <c r="O188" i="1"/>
  <c r="N186" i="1"/>
  <c r="N184" i="1" s="1"/>
  <c r="M186" i="1"/>
  <c r="M184" i="1" s="1"/>
  <c r="L186" i="1"/>
  <c r="L184" i="1" s="1"/>
  <c r="P185" i="1"/>
  <c r="O185" i="1"/>
  <c r="P182" i="1"/>
  <c r="N182" i="1"/>
  <c r="M182" i="1"/>
  <c r="L182" i="1"/>
  <c r="O182" i="1" s="1"/>
  <c r="J177" i="1"/>
  <c r="J176" i="1"/>
  <c r="J174" i="1" s="1"/>
  <c r="J164" i="1" s="1"/>
  <c r="I176" i="1"/>
  <c r="N173" i="1"/>
  <c r="N171" i="1" s="1"/>
  <c r="M173" i="1"/>
  <c r="P173" i="1" s="1"/>
  <c r="L173" i="1"/>
  <c r="O173" i="1" s="1"/>
  <c r="P172" i="1"/>
  <c r="O172" i="1"/>
  <c r="N170" i="1"/>
  <c r="M170" i="1"/>
  <c r="M168" i="1" s="1"/>
  <c r="L170" i="1"/>
  <c r="L168" i="1" s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L157" i="1"/>
  <c r="O157" i="1" s="1"/>
  <c r="P156" i="1"/>
  <c r="O156" i="1"/>
  <c r="N154" i="1"/>
  <c r="N152" i="1" s="1"/>
  <c r="M154" i="1"/>
  <c r="L154" i="1"/>
  <c r="P153" i="1"/>
  <c r="O153" i="1"/>
  <c r="N150" i="1"/>
  <c r="M150" i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3" i="1"/>
  <c r="J131" i="1" s="1"/>
  <c r="J142" i="1"/>
  <c r="N140" i="1"/>
  <c r="M140" i="1"/>
  <c r="L140" i="1"/>
  <c r="L138" i="1" s="1"/>
  <c r="P139" i="1"/>
  <c r="O139" i="1"/>
  <c r="N137" i="1"/>
  <c r="M137" i="1"/>
  <c r="L137" i="1"/>
  <c r="L135" i="1" s="1"/>
  <c r="P136" i="1"/>
  <c r="O136" i="1"/>
  <c r="N133" i="1"/>
  <c r="M133" i="1"/>
  <c r="L133" i="1"/>
  <c r="O133" i="1" s="1"/>
  <c r="N127" i="1"/>
  <c r="N125" i="1" s="1"/>
  <c r="M127" i="1"/>
  <c r="M125" i="1" s="1"/>
  <c r="L127" i="1"/>
  <c r="P126" i="1"/>
  <c r="O126" i="1"/>
  <c r="N124" i="1"/>
  <c r="N122" i="1" s="1"/>
  <c r="M124" i="1"/>
  <c r="P124" i="1" s="1"/>
  <c r="L124" i="1"/>
  <c r="O124" i="1" s="1"/>
  <c r="P123" i="1"/>
  <c r="O123" i="1"/>
  <c r="P120" i="1"/>
  <c r="O120" i="1"/>
  <c r="N120" i="1"/>
  <c r="M120" i="1"/>
  <c r="L120" i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P95" i="1"/>
  <c r="O95" i="1"/>
  <c r="N93" i="1"/>
  <c r="M93" i="1"/>
  <c r="L93" i="1"/>
  <c r="L91" i="1" s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M69" i="1" s="1"/>
  <c r="L71" i="1"/>
  <c r="P70" i="1"/>
  <c r="O70" i="1"/>
  <c r="N67" i="1"/>
  <c r="M67" i="1"/>
  <c r="P67" i="1" s="1"/>
  <c r="L67" i="1"/>
  <c r="O67" i="1" s="1"/>
  <c r="N61" i="1"/>
  <c r="N59" i="1" s="1"/>
  <c r="M61" i="1"/>
  <c r="L61" i="1"/>
  <c r="P60" i="1"/>
  <c r="O60" i="1"/>
  <c r="N58" i="1"/>
  <c r="N56" i="1" s="1"/>
  <c r="M58" i="1"/>
  <c r="M56" i="1" s="1"/>
  <c r="L58" i="1"/>
  <c r="P57" i="1"/>
  <c r="O57" i="1"/>
  <c r="N54" i="1"/>
  <c r="M54" i="1"/>
  <c r="P54" i="1" s="1"/>
  <c r="L54" i="1"/>
  <c r="O54" i="1" s="1"/>
  <c r="N49" i="1"/>
  <c r="N47" i="1" s="1"/>
  <c r="M49" i="1"/>
  <c r="L49" i="1"/>
  <c r="P48" i="1"/>
  <c r="O48" i="1"/>
  <c r="N46" i="1"/>
  <c r="N44" i="1" s="1"/>
  <c r="M46" i="1"/>
  <c r="L46" i="1"/>
  <c r="L44" i="1" s="1"/>
  <c r="P45" i="1"/>
  <c r="O45" i="1"/>
  <c r="N42" i="1"/>
  <c r="M42" i="1"/>
  <c r="L42" i="1"/>
  <c r="O42" i="1" s="1"/>
  <c r="N36" i="1"/>
  <c r="N34" i="1" s="1"/>
  <c r="M36" i="1"/>
  <c r="P36" i="1" s="1"/>
  <c r="N35" i="1"/>
  <c r="M35" i="1"/>
  <c r="P35" i="1" s="1"/>
  <c r="L35" i="1"/>
  <c r="O35" i="1" s="1"/>
  <c r="N32" i="1"/>
  <c r="M32" i="1"/>
  <c r="M12" i="1" s="1"/>
  <c r="L32" i="1"/>
  <c r="L29" i="1" s="1"/>
  <c r="N29" i="1"/>
  <c r="M29" i="1"/>
  <c r="P25" i="1"/>
  <c r="N25" i="1"/>
  <c r="M25" i="1"/>
  <c r="L25" i="1"/>
  <c r="O25" i="1" s="1"/>
  <c r="P22" i="1"/>
  <c r="O22" i="1"/>
  <c r="N22" i="1"/>
  <c r="N19" i="1" s="1"/>
  <c r="M22" i="1"/>
  <c r="L22" i="1"/>
  <c r="L19" i="1" s="1"/>
  <c r="M19" i="1"/>
  <c r="P19" i="1" s="1"/>
  <c r="N15" i="1"/>
  <c r="M15" i="1"/>
  <c r="P15" i="1" s="1"/>
  <c r="L15" i="1"/>
  <c r="P124" i="21" l="1"/>
  <c r="I364" i="23"/>
  <c r="K364" i="23" s="1"/>
  <c r="K828" i="23"/>
  <c r="J364" i="23"/>
  <c r="K98" i="23"/>
  <c r="K338" i="23"/>
  <c r="L209" i="23"/>
  <c r="O209" i="23" s="1"/>
  <c r="K823" i="23"/>
  <c r="L421" i="23"/>
  <c r="L419" i="23" s="1"/>
  <c r="L300" i="23"/>
  <c r="O300" i="23" s="1"/>
  <c r="P127" i="23"/>
  <c r="I443" i="23"/>
  <c r="K443" i="23" s="1"/>
  <c r="I434" i="23"/>
  <c r="I418" i="23" s="1"/>
  <c r="K418" i="23" s="1"/>
  <c r="L217" i="23"/>
  <c r="O217" i="23" s="1"/>
  <c r="L318" i="23"/>
  <c r="O318" i="23" s="1"/>
  <c r="J433" i="23"/>
  <c r="J417" i="23" s="1"/>
  <c r="O394" i="23"/>
  <c r="L391" i="23"/>
  <c r="L389" i="23" s="1"/>
  <c r="O389" i="23" s="1"/>
  <c r="K365" i="23"/>
  <c r="I364" i="22"/>
  <c r="K827" i="23"/>
  <c r="J721" i="23"/>
  <c r="K721" i="23" s="1"/>
  <c r="N330" i="23"/>
  <c r="N328" i="23" s="1"/>
  <c r="L134" i="23"/>
  <c r="O134" i="23" s="1"/>
  <c r="K826" i="23"/>
  <c r="J537" i="23"/>
  <c r="J522" i="23" s="1"/>
  <c r="L43" i="23"/>
  <c r="L41" i="23" s="1"/>
  <c r="P410" i="23"/>
  <c r="P336" i="23"/>
  <c r="O269" i="23"/>
  <c r="O266" i="23"/>
  <c r="J143" i="23"/>
  <c r="J131" i="23" s="1"/>
  <c r="N134" i="23"/>
  <c r="N132" i="23" s="1"/>
  <c r="P61" i="23"/>
  <c r="K800" i="23"/>
  <c r="O479" i="23"/>
  <c r="O431" i="23"/>
  <c r="O353" i="23"/>
  <c r="M330" i="23"/>
  <c r="N300" i="23"/>
  <c r="N298" i="23" s="1"/>
  <c r="O282" i="23"/>
  <c r="L229" i="23"/>
  <c r="K193" i="23"/>
  <c r="M187" i="23"/>
  <c r="P187" i="23" s="1"/>
  <c r="P157" i="23"/>
  <c r="M121" i="23"/>
  <c r="P121" i="23" s="1"/>
  <c r="N90" i="23"/>
  <c r="P397" i="23"/>
  <c r="P394" i="23"/>
  <c r="O306" i="23"/>
  <c r="L228" i="23"/>
  <c r="P168" i="23"/>
  <c r="N68" i="23"/>
  <c r="N66" i="23" s="1"/>
  <c r="K824" i="23"/>
  <c r="K675" i="23"/>
  <c r="K537" i="23"/>
  <c r="M183" i="23"/>
  <c r="M181" i="23" s="1"/>
  <c r="L90" i="23"/>
  <c r="L88" i="23" s="1"/>
  <c r="N447" i="23"/>
  <c r="N446" i="23"/>
  <c r="K434" i="23"/>
  <c r="K621" i="22"/>
  <c r="N789" i="23"/>
  <c r="P787" i="23"/>
  <c r="O771" i="23"/>
  <c r="M754" i="23"/>
  <c r="P754" i="23" s="1"/>
  <c r="J722" i="23"/>
  <c r="K722" i="23" s="1"/>
  <c r="K725" i="23"/>
  <c r="O660" i="23"/>
  <c r="N657" i="23"/>
  <c r="N655" i="23" s="1"/>
  <c r="O535" i="23"/>
  <c r="M523" i="23"/>
  <c r="P523" i="23" s="1"/>
  <c r="N504" i="23"/>
  <c r="L502" i="23"/>
  <c r="O502" i="23" s="1"/>
  <c r="K460" i="23"/>
  <c r="K438" i="23"/>
  <c r="K340" i="23"/>
  <c r="O303" i="23"/>
  <c r="K288" i="23"/>
  <c r="O285" i="23"/>
  <c r="M279" i="23"/>
  <c r="P279" i="23" s="1"/>
  <c r="M280" i="23"/>
  <c r="P280" i="23" s="1"/>
  <c r="K271" i="23"/>
  <c r="L249" i="23"/>
  <c r="O249" i="23" s="1"/>
  <c r="N227" i="23"/>
  <c r="L198" i="23"/>
  <c r="O198" i="23" s="1"/>
  <c r="K190" i="23"/>
  <c r="N183" i="23"/>
  <c r="N181" i="23" s="1"/>
  <c r="M184" i="23"/>
  <c r="P184" i="23" s="1"/>
  <c r="O154" i="23"/>
  <c r="I143" i="23"/>
  <c r="I131" i="23" s="1"/>
  <c r="K131" i="23" s="1"/>
  <c r="P124" i="23"/>
  <c r="K100" i="23"/>
  <c r="M72" i="23"/>
  <c r="P72" i="23" s="1"/>
  <c r="L44" i="23"/>
  <c r="O394" i="22"/>
  <c r="N740" i="23"/>
  <c r="O738" i="23"/>
  <c r="K700" i="23"/>
  <c r="M660" i="23"/>
  <c r="P660" i="23" s="1"/>
  <c r="L631" i="23"/>
  <c r="O631" i="23" s="1"/>
  <c r="P631" i="23"/>
  <c r="L547" i="23"/>
  <c r="O547" i="23" s="1"/>
  <c r="L404" i="23"/>
  <c r="O404" i="23" s="1"/>
  <c r="P333" i="23"/>
  <c r="L301" i="23"/>
  <c r="O301" i="23" s="1"/>
  <c r="J288" i="23"/>
  <c r="J275" i="23" s="1"/>
  <c r="L231" i="23"/>
  <c r="L138" i="23"/>
  <c r="O138" i="23" s="1"/>
  <c r="N135" i="23"/>
  <c r="O124" i="23"/>
  <c r="I112" i="23"/>
  <c r="K112" i="23" s="1"/>
  <c r="M94" i="23"/>
  <c r="P94" i="23" s="1"/>
  <c r="N91" i="23"/>
  <c r="P91" i="23" s="1"/>
  <c r="L72" i="23"/>
  <c r="O72" i="23" s="1"/>
  <c r="N69" i="23"/>
  <c r="K647" i="22"/>
  <c r="M770" i="23"/>
  <c r="P770" i="23" s="1"/>
  <c r="O657" i="23"/>
  <c r="K651" i="23"/>
  <c r="L347" i="23"/>
  <c r="L345" i="23" s="1"/>
  <c r="O333" i="23"/>
  <c r="M283" i="23"/>
  <c r="P283" i="23" s="1"/>
  <c r="L230" i="23"/>
  <c r="M171" i="23"/>
  <c r="P171" i="23" s="1"/>
  <c r="L135" i="23"/>
  <c r="O135" i="23" s="1"/>
  <c r="L55" i="23"/>
  <c r="L53" i="23" s="1"/>
  <c r="K825" i="23"/>
  <c r="N772" i="23"/>
  <c r="N770" i="23" s="1"/>
  <c r="L754" i="23"/>
  <c r="O754" i="23" s="1"/>
  <c r="K723" i="23"/>
  <c r="O641" i="23"/>
  <c r="M347" i="23"/>
  <c r="M345" i="23" s="1"/>
  <c r="N331" i="23"/>
  <c r="O331" i="23" s="1"/>
  <c r="M321" i="23"/>
  <c r="P321" i="23" s="1"/>
  <c r="K287" i="23"/>
  <c r="N167" i="23"/>
  <c r="N165" i="23" s="1"/>
  <c r="K144" i="23"/>
  <c r="N121" i="23"/>
  <c r="N119" i="23" s="1"/>
  <c r="M90" i="23"/>
  <c r="M88" i="23" s="1"/>
  <c r="M68" i="23"/>
  <c r="P68" i="23" s="1"/>
  <c r="N502" i="23"/>
  <c r="M331" i="23"/>
  <c r="N317" i="23"/>
  <c r="N315" i="23" s="1"/>
  <c r="M167" i="23"/>
  <c r="M165" i="23" s="1"/>
  <c r="L68" i="23"/>
  <c r="O68" i="23" s="1"/>
  <c r="O61" i="23"/>
  <c r="I197" i="21"/>
  <c r="K197" i="21" s="1"/>
  <c r="K708" i="22"/>
  <c r="I434" i="22"/>
  <c r="K434" i="22" s="1"/>
  <c r="O69" i="22"/>
  <c r="L788" i="23"/>
  <c r="O788" i="23" s="1"/>
  <c r="L658" i="23"/>
  <c r="J593" i="23"/>
  <c r="J592" i="23" s="1"/>
  <c r="N544" i="23"/>
  <c r="L469" i="23"/>
  <c r="O469" i="23" s="1"/>
  <c r="O407" i="23"/>
  <c r="O397" i="23"/>
  <c r="M391" i="23"/>
  <c r="P391" i="23" s="1"/>
  <c r="M317" i="23"/>
  <c r="P317" i="23" s="1"/>
  <c r="O264" i="23"/>
  <c r="O157" i="23"/>
  <c r="P154" i="23"/>
  <c r="I76" i="23"/>
  <c r="K76" i="23" s="1"/>
  <c r="L56" i="23"/>
  <c r="M44" i="23"/>
  <c r="P69" i="22"/>
  <c r="P738" i="23"/>
  <c r="N688" i="23"/>
  <c r="I592" i="23"/>
  <c r="K592" i="23" s="1"/>
  <c r="O549" i="23"/>
  <c r="L546" i="23"/>
  <c r="P524" i="23"/>
  <c r="O468" i="23"/>
  <c r="O445" i="23"/>
  <c r="O403" i="23"/>
  <c r="M23" i="23"/>
  <c r="P303" i="23"/>
  <c r="M301" i="23"/>
  <c r="P301" i="23" s="1"/>
  <c r="M300" i="23"/>
  <c r="P300" i="23" s="1"/>
  <c r="M41" i="23"/>
  <c r="L447" i="23"/>
  <c r="O447" i="23" s="1"/>
  <c r="L446" i="23"/>
  <c r="O446" i="23" s="1"/>
  <c r="M449" i="23"/>
  <c r="O173" i="23"/>
  <c r="L171" i="23"/>
  <c r="O171" i="23" s="1"/>
  <c r="K726" i="22"/>
  <c r="K435" i="22"/>
  <c r="L230" i="22"/>
  <c r="N808" i="23"/>
  <c r="P771" i="23"/>
  <c r="N658" i="23"/>
  <c r="N629" i="23"/>
  <c r="M502" i="23"/>
  <c r="P502" i="23" s="1"/>
  <c r="N404" i="23"/>
  <c r="N402" i="23" s="1"/>
  <c r="I314" i="23"/>
  <c r="K314" i="23" s="1"/>
  <c r="O189" i="23"/>
  <c r="L187" i="23"/>
  <c r="O187" i="23" s="1"/>
  <c r="L183" i="23"/>
  <c r="O170" i="23"/>
  <c r="L168" i="23"/>
  <c r="O168" i="23" s="1"/>
  <c r="M405" i="23"/>
  <c r="P405" i="23" s="1"/>
  <c r="M404" i="23"/>
  <c r="P404" i="23" s="1"/>
  <c r="L555" i="23"/>
  <c r="O555" i="23" s="1"/>
  <c r="O528" i="23"/>
  <c r="L525" i="23"/>
  <c r="O456" i="23"/>
  <c r="L454" i="23"/>
  <c r="O454" i="23" s="1"/>
  <c r="N351" i="23"/>
  <c r="P353" i="23"/>
  <c r="O278" i="23"/>
  <c r="L334" i="23"/>
  <c r="O334" i="23" s="1"/>
  <c r="L167" i="23"/>
  <c r="O167" i="23" s="1"/>
  <c r="K649" i="22"/>
  <c r="O806" i="23"/>
  <c r="P755" i="23"/>
  <c r="L688" i="23"/>
  <c r="M690" i="23"/>
  <c r="K669" i="23"/>
  <c r="K673" i="23"/>
  <c r="K672" i="23"/>
  <c r="I433" i="23"/>
  <c r="K435" i="23"/>
  <c r="P407" i="23"/>
  <c r="N392" i="23"/>
  <c r="N391" i="23"/>
  <c r="N389" i="23" s="1"/>
  <c r="K338" i="22"/>
  <c r="P306" i="22"/>
  <c r="P807" i="23"/>
  <c r="L789" i="23"/>
  <c r="O789" i="23" s="1"/>
  <c r="L687" i="23"/>
  <c r="O687" i="23" s="1"/>
  <c r="K674" i="23"/>
  <c r="L655" i="23"/>
  <c r="O655" i="23" s="1"/>
  <c r="K594" i="23"/>
  <c r="M546" i="23"/>
  <c r="P546" i="23" s="1"/>
  <c r="P549" i="23"/>
  <c r="P468" i="23"/>
  <c r="M467" i="23"/>
  <c r="P467" i="23" s="1"/>
  <c r="O449" i="23"/>
  <c r="N424" i="23"/>
  <c r="P403" i="23"/>
  <c r="N348" i="23"/>
  <c r="O348" i="23" s="1"/>
  <c r="P350" i="23"/>
  <c r="N347" i="23"/>
  <c r="N345" i="23" s="1"/>
  <c r="O350" i="23"/>
  <c r="N280" i="23"/>
  <c r="N279" i="23"/>
  <c r="N277" i="23" s="1"/>
  <c r="L26" i="23"/>
  <c r="L24" i="23" s="1"/>
  <c r="N23" i="23"/>
  <c r="N21" i="23" s="1"/>
  <c r="L632" i="23"/>
  <c r="O632" i="23" s="1"/>
  <c r="K559" i="23"/>
  <c r="L36" i="23"/>
  <c r="O36" i="23" s="1"/>
  <c r="L429" i="23"/>
  <c r="O429" i="23" s="1"/>
  <c r="L33" i="23"/>
  <c r="L31" i="23" s="1"/>
  <c r="M424" i="23"/>
  <c r="L422" i="23"/>
  <c r="J327" i="23"/>
  <c r="K327" i="23" s="1"/>
  <c r="L330" i="23"/>
  <c r="L317" i="23"/>
  <c r="O317" i="23" s="1"/>
  <c r="O634" i="23"/>
  <c r="K576" i="23"/>
  <c r="M545" i="23"/>
  <c r="O472" i="23"/>
  <c r="O410" i="23"/>
  <c r="L321" i="23"/>
  <c r="O321" i="23" s="1"/>
  <c r="O186" i="23"/>
  <c r="L184" i="23"/>
  <c r="O184" i="23" s="1"/>
  <c r="P54" i="23"/>
  <c r="L12" i="23"/>
  <c r="L19" i="23"/>
  <c r="O22" i="23"/>
  <c r="P306" i="23"/>
  <c r="M304" i="23"/>
  <c r="P304" i="23" s="1"/>
  <c r="K224" i="23"/>
  <c r="I216" i="23"/>
  <c r="K216" i="23" s="1"/>
  <c r="O15" i="23"/>
  <c r="N444" i="23"/>
  <c r="P299" i="23"/>
  <c r="N151" i="23"/>
  <c r="N149" i="23" s="1"/>
  <c r="O29" i="23"/>
  <c r="P320" i="23"/>
  <c r="O316" i="23"/>
  <c r="K309" i="23"/>
  <c r="O96" i="23"/>
  <c r="L94" i="23"/>
  <c r="O94" i="23" s="1"/>
  <c r="I77" i="23"/>
  <c r="L279" i="23"/>
  <c r="O279" i="23" s="1"/>
  <c r="I226" i="23"/>
  <c r="K226" i="23" s="1"/>
  <c r="K237" i="23"/>
  <c r="P150" i="23"/>
  <c r="O93" i="23"/>
  <c r="L91" i="23"/>
  <c r="N88" i="23"/>
  <c r="O58" i="23"/>
  <c r="P58" i="23"/>
  <c r="N56" i="23"/>
  <c r="J226" i="23"/>
  <c r="J180" i="23" s="1"/>
  <c r="P120" i="23"/>
  <c r="N55" i="23"/>
  <c r="N53" i="23" s="1"/>
  <c r="N26" i="23"/>
  <c r="P15" i="23"/>
  <c r="M26" i="23"/>
  <c r="O35" i="23"/>
  <c r="N263" i="23"/>
  <c r="N261" i="23" s="1"/>
  <c r="K255" i="23"/>
  <c r="L238" i="23"/>
  <c r="I233" i="23"/>
  <c r="K233" i="23" s="1"/>
  <c r="I174" i="23"/>
  <c r="M151" i="23"/>
  <c r="P151" i="23" s="1"/>
  <c r="P140" i="23"/>
  <c r="P137" i="23"/>
  <c r="O133" i="23"/>
  <c r="P89" i="23"/>
  <c r="I87" i="23"/>
  <c r="K87" i="23" s="1"/>
  <c r="P71" i="23"/>
  <c r="O67" i="23"/>
  <c r="M55" i="23"/>
  <c r="M53" i="23" s="1"/>
  <c r="P49" i="23"/>
  <c r="P46" i="23"/>
  <c r="O42" i="23"/>
  <c r="L23" i="23"/>
  <c r="L21" i="23" s="1"/>
  <c r="N19" i="23"/>
  <c r="N12" i="23"/>
  <c r="M263" i="23"/>
  <c r="K215" i="23"/>
  <c r="P186" i="23"/>
  <c r="O182" i="23"/>
  <c r="P170" i="23"/>
  <c r="O166" i="23"/>
  <c r="K159" i="23"/>
  <c r="L151" i="23"/>
  <c r="O137" i="23"/>
  <c r="L121" i="23"/>
  <c r="P93" i="23"/>
  <c r="O89" i="23"/>
  <c r="O71" i="23"/>
  <c r="O49" i="23"/>
  <c r="O46" i="23"/>
  <c r="P35" i="23"/>
  <c r="P22" i="23"/>
  <c r="M19" i="23"/>
  <c r="M12" i="23"/>
  <c r="M267" i="23"/>
  <c r="P267" i="23" s="1"/>
  <c r="M264" i="23"/>
  <c r="P264" i="23" s="1"/>
  <c r="L263" i="23"/>
  <c r="I130" i="23"/>
  <c r="K130" i="23" s="1"/>
  <c r="K79" i="23"/>
  <c r="N43" i="23"/>
  <c r="N34" i="23"/>
  <c r="K244" i="23"/>
  <c r="K204" i="23"/>
  <c r="M134" i="23"/>
  <c r="N44" i="23"/>
  <c r="M34" i="23"/>
  <c r="P34" i="23" s="1"/>
  <c r="N29" i="23"/>
  <c r="M29" i="23"/>
  <c r="K725" i="22"/>
  <c r="K340" i="22"/>
  <c r="K826" i="22"/>
  <c r="K728" i="22"/>
  <c r="O348" i="22"/>
  <c r="L183" i="22"/>
  <c r="L181" i="22" s="1"/>
  <c r="L477" i="22"/>
  <c r="O477" i="22" s="1"/>
  <c r="M408" i="22"/>
  <c r="P408" i="22" s="1"/>
  <c r="O269" i="22"/>
  <c r="L408" i="22"/>
  <c r="O408" i="22" s="1"/>
  <c r="M405" i="22"/>
  <c r="P405" i="22" s="1"/>
  <c r="L334" i="22"/>
  <c r="O334" i="22" s="1"/>
  <c r="P285" i="22"/>
  <c r="I190" i="22"/>
  <c r="K190" i="22" s="1"/>
  <c r="K827" i="22"/>
  <c r="K821" i="22"/>
  <c r="M263" i="22"/>
  <c r="M261" i="22" s="1"/>
  <c r="L187" i="22"/>
  <c r="O187" i="22" s="1"/>
  <c r="L300" i="22"/>
  <c r="L298" i="22" s="1"/>
  <c r="P157" i="21"/>
  <c r="P154" i="21"/>
  <c r="K825" i="22"/>
  <c r="K723" i="22"/>
  <c r="O557" i="22"/>
  <c r="K362" i="22"/>
  <c r="L263" i="22"/>
  <c r="L261" i="22" s="1"/>
  <c r="L238" i="22"/>
  <c r="O238" i="22" s="1"/>
  <c r="O56" i="19"/>
  <c r="L631" i="22"/>
  <c r="L629" i="22" s="1"/>
  <c r="O333" i="22"/>
  <c r="I248" i="22"/>
  <c r="K248" i="22" s="1"/>
  <c r="L167" i="22"/>
  <c r="L165" i="22" s="1"/>
  <c r="O186" i="20"/>
  <c r="L422" i="21"/>
  <c r="K385" i="22"/>
  <c r="K378" i="22"/>
  <c r="J327" i="22"/>
  <c r="K327" i="22" s="1"/>
  <c r="O306" i="22"/>
  <c r="O154" i="22"/>
  <c r="O124" i="22"/>
  <c r="O71" i="22"/>
  <c r="K98" i="21"/>
  <c r="J722" i="22"/>
  <c r="K722" i="22" s="1"/>
  <c r="L546" i="22"/>
  <c r="L544" i="22" s="1"/>
  <c r="L405" i="22"/>
  <c r="O405" i="22" s="1"/>
  <c r="P336" i="22"/>
  <c r="N300" i="22"/>
  <c r="N298" i="22" s="1"/>
  <c r="M279" i="22"/>
  <c r="M277" i="22" s="1"/>
  <c r="N151" i="22"/>
  <c r="N149" i="22" s="1"/>
  <c r="N121" i="22"/>
  <c r="N119" i="22" s="1"/>
  <c r="K620" i="22"/>
  <c r="K576" i="22"/>
  <c r="J433" i="22"/>
  <c r="J417" i="22" s="1"/>
  <c r="K417" i="22" s="1"/>
  <c r="L395" i="22"/>
  <c r="O395" i="22" s="1"/>
  <c r="M347" i="22"/>
  <c r="M345" i="22" s="1"/>
  <c r="O280" i="22"/>
  <c r="I174" i="22"/>
  <c r="K174" i="22" s="1"/>
  <c r="L171" i="22"/>
  <c r="O171" i="22" s="1"/>
  <c r="O331" i="21"/>
  <c r="K823" i="22"/>
  <c r="N807" i="22"/>
  <c r="N805" i="22" s="1"/>
  <c r="K800" i="22"/>
  <c r="O791" i="22"/>
  <c r="K729" i="22"/>
  <c r="K701" i="22"/>
  <c r="K651" i="22"/>
  <c r="K560" i="22"/>
  <c r="O535" i="22"/>
  <c r="M502" i="22"/>
  <c r="P502" i="22" s="1"/>
  <c r="I443" i="22"/>
  <c r="K443" i="22" s="1"/>
  <c r="L391" i="22"/>
  <c r="K374" i="22"/>
  <c r="P350" i="22"/>
  <c r="M330" i="22"/>
  <c r="M328" i="22" s="1"/>
  <c r="O303" i="22"/>
  <c r="P282" i="22"/>
  <c r="I233" i="22"/>
  <c r="K233" i="22" s="1"/>
  <c r="M183" i="22"/>
  <c r="M181" i="22" s="1"/>
  <c r="L184" i="22"/>
  <c r="O184" i="22" s="1"/>
  <c r="P168" i="22"/>
  <c r="O157" i="22"/>
  <c r="O127" i="22"/>
  <c r="K100" i="22"/>
  <c r="P96" i="22"/>
  <c r="I76" i="22"/>
  <c r="K76" i="22" s="1"/>
  <c r="O49" i="22"/>
  <c r="M15" i="22"/>
  <c r="K190" i="21"/>
  <c r="L805" i="22"/>
  <c r="O805" i="22" s="1"/>
  <c r="N788" i="22"/>
  <c r="N786" i="22" s="1"/>
  <c r="L770" i="22"/>
  <c r="O770" i="22" s="1"/>
  <c r="N757" i="22"/>
  <c r="P755" i="22"/>
  <c r="L737" i="22"/>
  <c r="O737" i="22" s="1"/>
  <c r="M634" i="22"/>
  <c r="P634" i="22" s="1"/>
  <c r="K568" i="22"/>
  <c r="I522" i="22"/>
  <c r="K522" i="22" s="1"/>
  <c r="K466" i="22"/>
  <c r="K437" i="22"/>
  <c r="N317" i="22"/>
  <c r="N315" i="22" s="1"/>
  <c r="L321" i="22"/>
  <c r="O321" i="22" s="1"/>
  <c r="K309" i="22"/>
  <c r="N301" i="22"/>
  <c r="P301" i="22" s="1"/>
  <c r="J288" i="22"/>
  <c r="J275" i="22" s="1"/>
  <c r="I276" i="22"/>
  <c r="K276" i="22" s="1"/>
  <c r="L231" i="22"/>
  <c r="I216" i="22"/>
  <c r="K216" i="22" s="1"/>
  <c r="L198" i="22"/>
  <c r="O198" i="22" s="1"/>
  <c r="P140" i="22"/>
  <c r="P137" i="22"/>
  <c r="O74" i="22"/>
  <c r="N23" i="22"/>
  <c r="N13" i="22" s="1"/>
  <c r="M29" i="22"/>
  <c r="M770" i="22"/>
  <c r="P770" i="22" s="1"/>
  <c r="M737" i="22"/>
  <c r="P737" i="22" s="1"/>
  <c r="K275" i="22"/>
  <c r="I260" i="22"/>
  <c r="K260" i="22" s="1"/>
  <c r="N122" i="22"/>
  <c r="M90" i="22"/>
  <c r="M88" i="22" s="1"/>
  <c r="I77" i="22"/>
  <c r="K77" i="22" s="1"/>
  <c r="N55" i="22"/>
  <c r="N53" i="22" s="1"/>
  <c r="N391" i="21"/>
  <c r="N389" i="21" s="1"/>
  <c r="K193" i="21"/>
  <c r="K100" i="21"/>
  <c r="K828" i="22"/>
  <c r="K822" i="22"/>
  <c r="K720" i="22"/>
  <c r="K669" i="22"/>
  <c r="K594" i="22"/>
  <c r="L347" i="22"/>
  <c r="L345" i="22" s="1"/>
  <c r="M317" i="22"/>
  <c r="P317" i="22" s="1"/>
  <c r="L279" i="22"/>
  <c r="L277" i="22" s="1"/>
  <c r="L249" i="22"/>
  <c r="O249" i="22" s="1"/>
  <c r="M187" i="22"/>
  <c r="P187" i="22" s="1"/>
  <c r="K99" i="22"/>
  <c r="M55" i="22"/>
  <c r="M53" i="22" s="1"/>
  <c r="L43" i="22"/>
  <c r="L41" i="22" s="1"/>
  <c r="L29" i="22"/>
  <c r="L230" i="21"/>
  <c r="J721" i="22"/>
  <c r="K721" i="22" s="1"/>
  <c r="N523" i="22"/>
  <c r="K465" i="22"/>
  <c r="N404" i="22"/>
  <c r="N402" i="22" s="1"/>
  <c r="K369" i="22"/>
  <c r="L317" i="22"/>
  <c r="O317" i="22" s="1"/>
  <c r="I112" i="22"/>
  <c r="K112" i="22" s="1"/>
  <c r="O58" i="22"/>
  <c r="K821" i="21"/>
  <c r="P331" i="21"/>
  <c r="K99" i="21"/>
  <c r="P96" i="21"/>
  <c r="K824" i="22"/>
  <c r="K628" i="22"/>
  <c r="L632" i="22"/>
  <c r="O632" i="22" s="1"/>
  <c r="K577" i="22"/>
  <c r="M523" i="22"/>
  <c r="P523" i="22" s="1"/>
  <c r="L447" i="22"/>
  <c r="K379" i="22"/>
  <c r="K360" i="22"/>
  <c r="P353" i="22"/>
  <c r="N330" i="22"/>
  <c r="L331" i="22"/>
  <c r="P303" i="22"/>
  <c r="O285" i="22"/>
  <c r="L264" i="22"/>
  <c r="N183" i="22"/>
  <c r="P184" i="22"/>
  <c r="N167" i="22"/>
  <c r="N165" i="22" s="1"/>
  <c r="L168" i="22"/>
  <c r="O168" i="22" s="1"/>
  <c r="L151" i="22"/>
  <c r="L121" i="22"/>
  <c r="O121" i="22" s="1"/>
  <c r="L68" i="22"/>
  <c r="L66" i="22" s="1"/>
  <c r="O634" i="22"/>
  <c r="N632" i="22"/>
  <c r="N631" i="22"/>
  <c r="N629" i="22"/>
  <c r="P472" i="22"/>
  <c r="M469" i="22"/>
  <c r="P469" i="22" s="1"/>
  <c r="M470" i="22"/>
  <c r="N754" i="22"/>
  <c r="L685" i="22"/>
  <c r="K593" i="22"/>
  <c r="N770" i="22"/>
  <c r="N737" i="22"/>
  <c r="L36" i="22"/>
  <c r="O36" i="22" s="1"/>
  <c r="O431" i="22"/>
  <c r="P390" i="22"/>
  <c r="O96" i="22"/>
  <c r="L94" i="22"/>
  <c r="O94" i="22" s="1"/>
  <c r="L138" i="21"/>
  <c r="O138" i="21" s="1"/>
  <c r="M805" i="22"/>
  <c r="P805" i="22" s="1"/>
  <c r="M786" i="22"/>
  <c r="P786" i="22" s="1"/>
  <c r="O771" i="22"/>
  <c r="O755" i="22"/>
  <c r="O738" i="22"/>
  <c r="M690" i="22"/>
  <c r="L688" i="22"/>
  <c r="O688" i="22" s="1"/>
  <c r="P686" i="22"/>
  <c r="K672" i="22"/>
  <c r="O660" i="22"/>
  <c r="O641" i="22"/>
  <c r="M549" i="22"/>
  <c r="L525" i="22"/>
  <c r="O525" i="22" s="1"/>
  <c r="K440" i="22"/>
  <c r="L429" i="22"/>
  <c r="O429" i="22" s="1"/>
  <c r="P397" i="22"/>
  <c r="M395" i="22"/>
  <c r="P395" i="22" s="1"/>
  <c r="K372" i="22"/>
  <c r="K370" i="22"/>
  <c r="K359" i="22"/>
  <c r="P351" i="22"/>
  <c r="L229" i="22"/>
  <c r="I237" i="22"/>
  <c r="M34" i="22"/>
  <c r="P34" i="22" s="1"/>
  <c r="P36" i="22"/>
  <c r="N657" i="22"/>
  <c r="N655" i="22" s="1"/>
  <c r="N321" i="22"/>
  <c r="P124" i="22"/>
  <c r="M122" i="22"/>
  <c r="P122" i="22" s="1"/>
  <c r="M23" i="22"/>
  <c r="N263" i="21"/>
  <c r="N261" i="21" s="1"/>
  <c r="K159" i="21"/>
  <c r="L47" i="21"/>
  <c r="O47" i="21" s="1"/>
  <c r="K675" i="22"/>
  <c r="M660" i="22"/>
  <c r="J559" i="22"/>
  <c r="N546" i="22"/>
  <c r="N544" i="22" s="1"/>
  <c r="N470" i="22"/>
  <c r="O468" i="22"/>
  <c r="K381" i="22"/>
  <c r="L330" i="22"/>
  <c r="P323" i="22"/>
  <c r="M321" i="22"/>
  <c r="P321" i="22" s="1"/>
  <c r="P316" i="22"/>
  <c r="K244" i="22"/>
  <c r="O150" i="22"/>
  <c r="K98" i="22"/>
  <c r="J86" i="22"/>
  <c r="K86" i="22" s="1"/>
  <c r="L12" i="22"/>
  <c r="L19" i="22"/>
  <c r="O22" i="22"/>
  <c r="L788" i="22"/>
  <c r="N687" i="22"/>
  <c r="N685" i="22" s="1"/>
  <c r="L657" i="22"/>
  <c r="L526" i="22"/>
  <c r="O526" i="22" s="1"/>
  <c r="N33" i="22"/>
  <c r="O424" i="22"/>
  <c r="N422" i="22"/>
  <c r="P394" i="22"/>
  <c r="M392" i="22"/>
  <c r="P392" i="22" s="1"/>
  <c r="K355" i="22"/>
  <c r="N263" i="22"/>
  <c r="O266" i="22"/>
  <c r="N264" i="22"/>
  <c r="P157" i="22"/>
  <c r="M155" i="22"/>
  <c r="P155" i="22" s="1"/>
  <c r="M446" i="22"/>
  <c r="M447" i="22"/>
  <c r="M121" i="22"/>
  <c r="O93" i="22"/>
  <c r="L91" i="22"/>
  <c r="O91" i="22" s="1"/>
  <c r="L90" i="22"/>
  <c r="O690" i="22"/>
  <c r="K674" i="22"/>
  <c r="I654" i="22"/>
  <c r="K654" i="22" s="1"/>
  <c r="I592" i="22"/>
  <c r="K592" i="22" s="1"/>
  <c r="O549" i="22"/>
  <c r="P545" i="22"/>
  <c r="P424" i="22"/>
  <c r="M422" i="22"/>
  <c r="P422" i="22" s="1"/>
  <c r="N421" i="22"/>
  <c r="N419" i="22" s="1"/>
  <c r="N391" i="22"/>
  <c r="N389" i="22" s="1"/>
  <c r="O351" i="22"/>
  <c r="P320" i="22"/>
  <c r="M318" i="22"/>
  <c r="P318" i="22" s="1"/>
  <c r="M264" i="22"/>
  <c r="P266" i="22"/>
  <c r="I197" i="22"/>
  <c r="K197" i="22" s="1"/>
  <c r="K204" i="22"/>
  <c r="O152" i="22"/>
  <c r="L547" i="22"/>
  <c r="O547" i="22" s="1"/>
  <c r="P420" i="22"/>
  <c r="M419" i="22"/>
  <c r="J364" i="22"/>
  <c r="P333" i="21"/>
  <c r="M187" i="21"/>
  <c r="P187" i="21" s="1"/>
  <c r="M183" i="21"/>
  <c r="M181" i="21" s="1"/>
  <c r="P61" i="21"/>
  <c r="K673" i="22"/>
  <c r="J537" i="22"/>
  <c r="J522" i="22" s="1"/>
  <c r="O472" i="22"/>
  <c r="L470" i="22"/>
  <c r="L469" i="22"/>
  <c r="O469" i="22" s="1"/>
  <c r="N447" i="22"/>
  <c r="N446" i="22"/>
  <c r="N444" i="22" s="1"/>
  <c r="L404" i="22"/>
  <c r="M391" i="22"/>
  <c r="P391" i="22" s="1"/>
  <c r="K365" i="22"/>
  <c r="I208" i="22"/>
  <c r="K208" i="22" s="1"/>
  <c r="K215" i="22"/>
  <c r="O29" i="22"/>
  <c r="N526" i="22"/>
  <c r="L446" i="22"/>
  <c r="O446" i="22" s="1"/>
  <c r="N405" i="22"/>
  <c r="M404" i="22"/>
  <c r="P404" i="22" s="1"/>
  <c r="M348" i="22"/>
  <c r="P348" i="22" s="1"/>
  <c r="N331" i="22"/>
  <c r="P331" i="22" s="1"/>
  <c r="O320" i="22"/>
  <c r="L301" i="22"/>
  <c r="M280" i="22"/>
  <c r="P280" i="22" s="1"/>
  <c r="P269" i="22"/>
  <c r="L228" i="22"/>
  <c r="J143" i="22"/>
  <c r="J131" i="22" s="1"/>
  <c r="O61" i="22"/>
  <c r="O35" i="22"/>
  <c r="P15" i="22"/>
  <c r="L15" i="22"/>
  <c r="N504" i="22"/>
  <c r="N502" i="22" s="1"/>
  <c r="P468" i="22"/>
  <c r="O456" i="22"/>
  <c r="O449" i="22"/>
  <c r="L33" i="22"/>
  <c r="L31" i="22" s="1"/>
  <c r="L421" i="22"/>
  <c r="O353" i="22"/>
  <c r="O350" i="22"/>
  <c r="P333" i="22"/>
  <c r="K325" i="22"/>
  <c r="O282" i="22"/>
  <c r="P154" i="22"/>
  <c r="M152" i="22"/>
  <c r="P152" i="22" s="1"/>
  <c r="M151" i="22"/>
  <c r="P54" i="22"/>
  <c r="L26" i="22"/>
  <c r="I442" i="22"/>
  <c r="K442" i="22" s="1"/>
  <c r="L422" i="22"/>
  <c r="O422" i="22" s="1"/>
  <c r="N347" i="22"/>
  <c r="N345" i="22" s="1"/>
  <c r="M300" i="22"/>
  <c r="N279" i="22"/>
  <c r="N277" i="22" s="1"/>
  <c r="P91" i="22"/>
  <c r="P61" i="22"/>
  <c r="N59" i="22"/>
  <c r="P59" i="22" s="1"/>
  <c r="P29" i="22"/>
  <c r="L217" i="22"/>
  <c r="O217" i="22" s="1"/>
  <c r="L209" i="22"/>
  <c r="O209" i="22" s="1"/>
  <c r="I143" i="22"/>
  <c r="K145" i="22"/>
  <c r="P127" i="22"/>
  <c r="M125" i="22"/>
  <c r="P125" i="22" s="1"/>
  <c r="O120" i="22"/>
  <c r="P58" i="22"/>
  <c r="N56" i="22"/>
  <c r="P56" i="22" s="1"/>
  <c r="P186" i="22"/>
  <c r="O182" i="22"/>
  <c r="P173" i="22"/>
  <c r="P170" i="22"/>
  <c r="O166" i="22"/>
  <c r="K159" i="22"/>
  <c r="K144" i="22"/>
  <c r="O140" i="22"/>
  <c r="O137" i="22"/>
  <c r="P89" i="22"/>
  <c r="I87" i="22"/>
  <c r="K87" i="22" s="1"/>
  <c r="P74" i="22"/>
  <c r="P71" i="22"/>
  <c r="O67" i="22"/>
  <c r="P49" i="22"/>
  <c r="P46" i="22"/>
  <c r="O42" i="22"/>
  <c r="L23" i="22"/>
  <c r="L21" i="22" s="1"/>
  <c r="N19" i="22"/>
  <c r="N12" i="22"/>
  <c r="O186" i="22"/>
  <c r="O170" i="22"/>
  <c r="N134" i="22"/>
  <c r="N132" i="22" s="1"/>
  <c r="I130" i="22"/>
  <c r="K130" i="22" s="1"/>
  <c r="P93" i="22"/>
  <c r="L55" i="22"/>
  <c r="O46" i="22"/>
  <c r="N26" i="22"/>
  <c r="M19" i="22"/>
  <c r="M12" i="22"/>
  <c r="M134" i="22"/>
  <c r="P134" i="22" s="1"/>
  <c r="K115" i="22"/>
  <c r="N68" i="22"/>
  <c r="L59" i="22"/>
  <c r="L56" i="22"/>
  <c r="N43" i="22"/>
  <c r="N34" i="22"/>
  <c r="M26" i="22"/>
  <c r="M24" i="22" s="1"/>
  <c r="M167" i="22"/>
  <c r="L134" i="22"/>
  <c r="N90" i="22"/>
  <c r="N88" i="22" s="1"/>
  <c r="M68" i="22"/>
  <c r="N44" i="22"/>
  <c r="P44" i="22" s="1"/>
  <c r="M43" i="22"/>
  <c r="N29" i="22"/>
  <c r="P32" i="22"/>
  <c r="P25" i="22"/>
  <c r="J327" i="21"/>
  <c r="K327" i="21" s="1"/>
  <c r="P306" i="21"/>
  <c r="J143" i="21"/>
  <c r="J131" i="21" s="1"/>
  <c r="K826" i="21"/>
  <c r="L231" i="21"/>
  <c r="I143" i="21"/>
  <c r="K143" i="21" s="1"/>
  <c r="P127" i="21"/>
  <c r="N68" i="21"/>
  <c r="N66" i="21" s="1"/>
  <c r="L280" i="21"/>
  <c r="O280" i="21" s="1"/>
  <c r="L238" i="21"/>
  <c r="O238" i="21" s="1"/>
  <c r="L183" i="21"/>
  <c r="L181" i="21" s="1"/>
  <c r="K725" i="21"/>
  <c r="M43" i="21"/>
  <c r="M41" i="21" s="1"/>
  <c r="K825" i="21"/>
  <c r="L395" i="21"/>
  <c r="O395" i="21" s="1"/>
  <c r="K340" i="21"/>
  <c r="M330" i="21"/>
  <c r="M328" i="21" s="1"/>
  <c r="L525" i="21"/>
  <c r="O525" i="21" s="1"/>
  <c r="K338" i="21"/>
  <c r="K224" i="21"/>
  <c r="O71" i="21"/>
  <c r="N69" i="21"/>
  <c r="O170" i="20"/>
  <c r="K828" i="21"/>
  <c r="K700" i="21"/>
  <c r="O472" i="21"/>
  <c r="M405" i="21"/>
  <c r="P405" i="21" s="1"/>
  <c r="M690" i="20"/>
  <c r="M688" i="20" s="1"/>
  <c r="P688" i="20" s="1"/>
  <c r="K822" i="21"/>
  <c r="O424" i="21"/>
  <c r="M404" i="21"/>
  <c r="P404" i="21" s="1"/>
  <c r="L391" i="21"/>
  <c r="O391" i="21" s="1"/>
  <c r="P353" i="21"/>
  <c r="P336" i="21"/>
  <c r="K144" i="21"/>
  <c r="L134" i="21"/>
  <c r="O134" i="21" s="1"/>
  <c r="M121" i="21"/>
  <c r="P121" i="21" s="1"/>
  <c r="O46" i="21"/>
  <c r="N279" i="21"/>
  <c r="N277" i="21" s="1"/>
  <c r="K340" i="20"/>
  <c r="M183" i="20"/>
  <c r="M181" i="20" s="1"/>
  <c r="K827" i="21"/>
  <c r="K674" i="21"/>
  <c r="P320" i="21"/>
  <c r="N167" i="21"/>
  <c r="N165" i="21" s="1"/>
  <c r="O157" i="21"/>
  <c r="L687" i="20"/>
  <c r="L685" i="20" s="1"/>
  <c r="O685" i="20" s="1"/>
  <c r="K672" i="21"/>
  <c r="L347" i="21"/>
  <c r="L345" i="21" s="1"/>
  <c r="M300" i="21"/>
  <c r="P300" i="21" s="1"/>
  <c r="L217" i="21"/>
  <c r="O217" i="21" s="1"/>
  <c r="I208" i="21"/>
  <c r="K208" i="21" s="1"/>
  <c r="L198" i="21"/>
  <c r="O198" i="21" s="1"/>
  <c r="J721" i="21"/>
  <c r="K721" i="21" s="1"/>
  <c r="I522" i="21"/>
  <c r="K522" i="21" s="1"/>
  <c r="N395" i="21"/>
  <c r="M301" i="21"/>
  <c r="P301" i="21" s="1"/>
  <c r="N280" i="21"/>
  <c r="K355" i="20"/>
  <c r="L788" i="21"/>
  <c r="O788" i="21" s="1"/>
  <c r="L770" i="21"/>
  <c r="O770" i="21" s="1"/>
  <c r="K723" i="21"/>
  <c r="J537" i="21"/>
  <c r="J522" i="21" s="1"/>
  <c r="M444" i="21"/>
  <c r="P444" i="21" s="1"/>
  <c r="N300" i="21"/>
  <c r="N298" i="21" s="1"/>
  <c r="I260" i="21"/>
  <c r="K260" i="21" s="1"/>
  <c r="L249" i="21"/>
  <c r="O249" i="21" s="1"/>
  <c r="P170" i="21"/>
  <c r="K701" i="20"/>
  <c r="P306" i="20"/>
  <c r="L737" i="21"/>
  <c r="O737" i="21" s="1"/>
  <c r="J722" i="21"/>
  <c r="K722" i="21" s="1"/>
  <c r="N688" i="21"/>
  <c r="L685" i="21"/>
  <c r="O685" i="21" s="1"/>
  <c r="K594" i="21"/>
  <c r="O549" i="21"/>
  <c r="O535" i="21"/>
  <c r="L502" i="21"/>
  <c r="O502" i="21" s="1"/>
  <c r="I434" i="21"/>
  <c r="I433" i="21"/>
  <c r="I417" i="21" s="1"/>
  <c r="P394" i="21"/>
  <c r="O350" i="21"/>
  <c r="O333" i="21"/>
  <c r="O285" i="21"/>
  <c r="L279" i="21"/>
  <c r="O279" i="21" s="1"/>
  <c r="P269" i="21"/>
  <c r="L267" i="21"/>
  <c r="O267" i="21" s="1"/>
  <c r="M263" i="21"/>
  <c r="I233" i="21"/>
  <c r="K233" i="21" s="1"/>
  <c r="L209" i="21"/>
  <c r="O209" i="21" s="1"/>
  <c r="N121" i="21"/>
  <c r="N119" i="21" s="1"/>
  <c r="M90" i="21"/>
  <c r="M88" i="21" s="1"/>
  <c r="L29" i="21"/>
  <c r="N808" i="21"/>
  <c r="O806" i="21"/>
  <c r="P771" i="21"/>
  <c r="L754" i="21"/>
  <c r="O754" i="21" s="1"/>
  <c r="P738" i="21"/>
  <c r="O690" i="21"/>
  <c r="L688" i="21"/>
  <c r="L631" i="21"/>
  <c r="O631" i="21" s="1"/>
  <c r="L632" i="21"/>
  <c r="O632" i="21" s="1"/>
  <c r="I628" i="21"/>
  <c r="K628" i="21" s="1"/>
  <c r="N526" i="21"/>
  <c r="O449" i="21"/>
  <c r="O394" i="21"/>
  <c r="L348" i="21"/>
  <c r="O348" i="21" s="1"/>
  <c r="P303" i="21"/>
  <c r="L228" i="21"/>
  <c r="K216" i="21"/>
  <c r="L68" i="21"/>
  <c r="O68" i="21" s="1"/>
  <c r="M55" i="21"/>
  <c r="M53" i="21" s="1"/>
  <c r="O44" i="21"/>
  <c r="M19" i="21"/>
  <c r="N770" i="21"/>
  <c r="L657" i="21"/>
  <c r="L655" i="21" s="1"/>
  <c r="P547" i="21"/>
  <c r="O431" i="21"/>
  <c r="P397" i="21"/>
  <c r="J364" i="21"/>
  <c r="N330" i="21"/>
  <c r="N328" i="21" s="1"/>
  <c r="O303" i="21"/>
  <c r="P282" i="21"/>
  <c r="N227" i="21"/>
  <c r="N151" i="21"/>
  <c r="N149" i="21" s="1"/>
  <c r="O137" i="21"/>
  <c r="O74" i="21"/>
  <c r="N15" i="21"/>
  <c r="M690" i="21"/>
  <c r="M688" i="21" s="1"/>
  <c r="P688" i="21" s="1"/>
  <c r="L639" i="21"/>
  <c r="O639" i="21" s="1"/>
  <c r="L392" i="21"/>
  <c r="O392" i="21" s="1"/>
  <c r="K309" i="21"/>
  <c r="L263" i="21"/>
  <c r="M151" i="21"/>
  <c r="P151" i="21" s="1"/>
  <c r="K146" i="21"/>
  <c r="N134" i="21"/>
  <c r="N132" i="21" s="1"/>
  <c r="L135" i="21"/>
  <c r="O135" i="21" s="1"/>
  <c r="L43" i="21"/>
  <c r="L41" i="21" s="1"/>
  <c r="K592" i="21"/>
  <c r="K559" i="21"/>
  <c r="I543" i="21"/>
  <c r="K543" i="21" s="1"/>
  <c r="P545" i="21"/>
  <c r="N470" i="21"/>
  <c r="K675" i="20"/>
  <c r="M660" i="20"/>
  <c r="M657" i="20" s="1"/>
  <c r="M655" i="20" s="1"/>
  <c r="P655" i="20" s="1"/>
  <c r="O791" i="21"/>
  <c r="N657" i="21"/>
  <c r="N655" i="21" s="1"/>
  <c r="N631" i="21"/>
  <c r="N629" i="21" s="1"/>
  <c r="I443" i="21"/>
  <c r="K443" i="21" s="1"/>
  <c r="J433" i="21"/>
  <c r="J417" i="21" s="1"/>
  <c r="N421" i="21"/>
  <c r="M348" i="21"/>
  <c r="P348" i="21" s="1"/>
  <c r="M347" i="21"/>
  <c r="P350" i="21"/>
  <c r="O278" i="21"/>
  <c r="P264" i="21"/>
  <c r="O170" i="21"/>
  <c r="L168" i="21"/>
  <c r="L167" i="21"/>
  <c r="P150" i="21"/>
  <c r="K651" i="19"/>
  <c r="K561" i="19"/>
  <c r="K647" i="20"/>
  <c r="P124" i="20"/>
  <c r="M786" i="21"/>
  <c r="P786" i="21" s="1"/>
  <c r="O687" i="21"/>
  <c r="O660" i="21"/>
  <c r="P656" i="21"/>
  <c r="K576" i="21"/>
  <c r="L555" i="21"/>
  <c r="O555" i="21" s="1"/>
  <c r="L546" i="21"/>
  <c r="L469" i="21"/>
  <c r="O469" i="21" s="1"/>
  <c r="I442" i="21"/>
  <c r="K442" i="21" s="1"/>
  <c r="N419" i="21"/>
  <c r="P419" i="21" s="1"/>
  <c r="O410" i="21"/>
  <c r="I364" i="21"/>
  <c r="K364" i="21" s="1"/>
  <c r="O353" i="21"/>
  <c r="N347" i="21"/>
  <c r="N345" i="21" s="1"/>
  <c r="N351" i="21"/>
  <c r="O351" i="21" s="1"/>
  <c r="P323" i="21"/>
  <c r="M317" i="21"/>
  <c r="P317" i="21" s="1"/>
  <c r="I276" i="21"/>
  <c r="K276" i="21" s="1"/>
  <c r="N789" i="21"/>
  <c r="P329" i="21"/>
  <c r="M467" i="21"/>
  <c r="P467" i="21" s="1"/>
  <c r="P468" i="21"/>
  <c r="N33" i="21"/>
  <c r="P424" i="21"/>
  <c r="N422" i="21"/>
  <c r="N183" i="21"/>
  <c r="N181" i="21" s="1"/>
  <c r="N59" i="21"/>
  <c r="N26" i="21"/>
  <c r="N56" i="21"/>
  <c r="P56" i="21" s="1"/>
  <c r="P58" i="21"/>
  <c r="N55" i="21"/>
  <c r="K593" i="21"/>
  <c r="L454" i="21"/>
  <c r="O454" i="21" s="1"/>
  <c r="O456" i="21"/>
  <c r="L404" i="21"/>
  <c r="O407" i="21"/>
  <c r="O262" i="21"/>
  <c r="K359" i="19"/>
  <c r="P154" i="20"/>
  <c r="P756" i="21"/>
  <c r="O755" i="21"/>
  <c r="O686" i="21"/>
  <c r="K675" i="21"/>
  <c r="K669" i="21"/>
  <c r="K673" i="21"/>
  <c r="M657" i="21"/>
  <c r="M655" i="21" s="1"/>
  <c r="P660" i="21"/>
  <c r="L658" i="21"/>
  <c r="O658" i="21" s="1"/>
  <c r="P555" i="21"/>
  <c r="N544" i="21"/>
  <c r="K540" i="21"/>
  <c r="O524" i="21"/>
  <c r="M523" i="21"/>
  <c r="P523" i="21" s="1"/>
  <c r="P503" i="21"/>
  <c r="L477" i="21"/>
  <c r="O477" i="21" s="1"/>
  <c r="L446" i="21"/>
  <c r="M408" i="21"/>
  <c r="P408" i="21" s="1"/>
  <c r="P299" i="21"/>
  <c r="O124" i="21"/>
  <c r="L122" i="21"/>
  <c r="O122" i="21" s="1"/>
  <c r="L121" i="21"/>
  <c r="O59" i="19"/>
  <c r="K374" i="20"/>
  <c r="L230" i="20"/>
  <c r="M805" i="21"/>
  <c r="P805" i="21" s="1"/>
  <c r="K800" i="21"/>
  <c r="K654" i="21"/>
  <c r="M629" i="21"/>
  <c r="P629" i="21" s="1"/>
  <c r="M546" i="21"/>
  <c r="P546" i="21" s="1"/>
  <c r="P549" i="21"/>
  <c r="L547" i="21"/>
  <c r="O547" i="21" s="1"/>
  <c r="L526" i="21"/>
  <c r="O526" i="21" s="1"/>
  <c r="O528" i="21"/>
  <c r="N444" i="21"/>
  <c r="P421" i="21"/>
  <c r="N405" i="21"/>
  <c r="N404" i="21"/>
  <c r="N402" i="21" s="1"/>
  <c r="O320" i="21"/>
  <c r="L317" i="21"/>
  <c r="O299" i="21"/>
  <c r="N267" i="21"/>
  <c r="M168" i="21"/>
  <c r="P166" i="21"/>
  <c r="O96" i="21"/>
  <c r="L94" i="21"/>
  <c r="O94" i="21" s="1"/>
  <c r="L90" i="21"/>
  <c r="O15" i="21"/>
  <c r="K438" i="21"/>
  <c r="M422" i="21"/>
  <c r="M391" i="21"/>
  <c r="P391" i="21" s="1"/>
  <c r="O336" i="21"/>
  <c r="L330" i="21"/>
  <c r="L321" i="21"/>
  <c r="O321" i="21" s="1"/>
  <c r="N317" i="21"/>
  <c r="N315" i="21" s="1"/>
  <c r="O306" i="21"/>
  <c r="P285" i="21"/>
  <c r="I275" i="21"/>
  <c r="K275" i="21" s="1"/>
  <c r="P266" i="21"/>
  <c r="P186" i="21"/>
  <c r="O182" i="21"/>
  <c r="P173" i="21"/>
  <c r="M167" i="21"/>
  <c r="I76" i="21"/>
  <c r="M47" i="21"/>
  <c r="P47" i="21" s="1"/>
  <c r="M26" i="21"/>
  <c r="M24" i="21" s="1"/>
  <c r="P49" i="21"/>
  <c r="L33" i="21"/>
  <c r="K325" i="21"/>
  <c r="L300" i="21"/>
  <c r="O300" i="21" s="1"/>
  <c r="M279" i="21"/>
  <c r="P279" i="21" s="1"/>
  <c r="P262" i="21"/>
  <c r="L229" i="21"/>
  <c r="O189" i="21"/>
  <c r="L187" i="21"/>
  <c r="O187" i="21" s="1"/>
  <c r="N184" i="21"/>
  <c r="P184" i="21" s="1"/>
  <c r="M135" i="21"/>
  <c r="P135" i="21" s="1"/>
  <c r="P137" i="21"/>
  <c r="O133" i="21"/>
  <c r="P89" i="21"/>
  <c r="I77" i="21"/>
  <c r="K79" i="21"/>
  <c r="O61" i="21"/>
  <c r="L59" i="21"/>
  <c r="O59" i="21" s="1"/>
  <c r="L55" i="21"/>
  <c r="L26" i="21"/>
  <c r="M29" i="21"/>
  <c r="P32" i="21"/>
  <c r="N12" i="21"/>
  <c r="N19" i="21"/>
  <c r="M12" i="21"/>
  <c r="K288" i="21"/>
  <c r="I248" i="21"/>
  <c r="K248" i="21" s="1"/>
  <c r="K255" i="21"/>
  <c r="I237" i="21"/>
  <c r="O154" i="21"/>
  <c r="L152" i="21"/>
  <c r="O152" i="21" s="1"/>
  <c r="L151" i="21"/>
  <c r="P54" i="21"/>
  <c r="O29" i="21"/>
  <c r="O266" i="21"/>
  <c r="L264" i="21"/>
  <c r="O264" i="21" s="1"/>
  <c r="K244" i="21"/>
  <c r="K225" i="21"/>
  <c r="K176" i="21"/>
  <c r="I174" i="21"/>
  <c r="O173" i="21"/>
  <c r="L171" i="21"/>
  <c r="O171" i="21" s="1"/>
  <c r="N168" i="21"/>
  <c r="M134" i="21"/>
  <c r="N91" i="21"/>
  <c r="P91" i="21" s="1"/>
  <c r="N90" i="21"/>
  <c r="N88" i="21" s="1"/>
  <c r="P93" i="21"/>
  <c r="M72" i="21"/>
  <c r="P72" i="21" s="1"/>
  <c r="P74" i="21"/>
  <c r="M34" i="21"/>
  <c r="P34" i="21" s="1"/>
  <c r="L36" i="21"/>
  <c r="O36" i="21" s="1"/>
  <c r="L421" i="21"/>
  <c r="O186" i="21"/>
  <c r="L184" i="21"/>
  <c r="P182" i="21"/>
  <c r="M138" i="21"/>
  <c r="P138" i="21" s="1"/>
  <c r="P140" i="21"/>
  <c r="O127" i="21"/>
  <c r="L125" i="21"/>
  <c r="O125" i="21" s="1"/>
  <c r="P120" i="21"/>
  <c r="I112" i="21"/>
  <c r="K112" i="21" s="1"/>
  <c r="K115" i="21"/>
  <c r="O58" i="21"/>
  <c r="L56" i="21"/>
  <c r="N29" i="21"/>
  <c r="M69" i="21"/>
  <c r="P69" i="21" s="1"/>
  <c r="P71" i="21"/>
  <c r="O67" i="21"/>
  <c r="N23" i="21"/>
  <c r="L12" i="21"/>
  <c r="L19" i="21"/>
  <c r="O22" i="21"/>
  <c r="M44" i="21"/>
  <c r="P44" i="21" s="1"/>
  <c r="P46" i="21"/>
  <c r="O42" i="21"/>
  <c r="O35" i="21"/>
  <c r="P19" i="21"/>
  <c r="O93" i="21"/>
  <c r="L91" i="21"/>
  <c r="M68" i="21"/>
  <c r="M15" i="21"/>
  <c r="P25" i="21"/>
  <c r="M23" i="21"/>
  <c r="L23" i="21"/>
  <c r="L21" i="21" s="1"/>
  <c r="N43" i="21"/>
  <c r="L391" i="20"/>
  <c r="O391" i="20" s="1"/>
  <c r="O331" i="20"/>
  <c r="J722" i="20"/>
  <c r="K722" i="20" s="1"/>
  <c r="K725" i="20"/>
  <c r="K359" i="20"/>
  <c r="P351" i="20"/>
  <c r="O350" i="20"/>
  <c r="I112" i="20"/>
  <c r="K112" i="20" s="1"/>
  <c r="M408" i="20"/>
  <c r="P408" i="20" s="1"/>
  <c r="K379" i="20"/>
  <c r="O353" i="20"/>
  <c r="P320" i="20"/>
  <c r="P96" i="20"/>
  <c r="L788" i="20"/>
  <c r="O788" i="20" s="1"/>
  <c r="K651" i="20"/>
  <c r="O397" i="20"/>
  <c r="I364" i="20"/>
  <c r="M334" i="20"/>
  <c r="P334" i="20" s="1"/>
  <c r="L230" i="19"/>
  <c r="O688" i="20"/>
  <c r="O303" i="20"/>
  <c r="L90" i="20"/>
  <c r="L88" i="20" s="1"/>
  <c r="N404" i="20"/>
  <c r="N402" i="20" s="1"/>
  <c r="K674" i="20"/>
  <c r="L657" i="20"/>
  <c r="O657" i="20" s="1"/>
  <c r="K649" i="20"/>
  <c r="O641" i="20"/>
  <c r="M424" i="20"/>
  <c r="M421" i="20" s="1"/>
  <c r="M419" i="20" s="1"/>
  <c r="K378" i="20"/>
  <c r="K370" i="20"/>
  <c r="I314" i="20"/>
  <c r="K314" i="20" s="1"/>
  <c r="P157" i="20"/>
  <c r="K146" i="20"/>
  <c r="L135" i="20"/>
  <c r="O135" i="20" s="1"/>
  <c r="K673" i="20"/>
  <c r="O394" i="20"/>
  <c r="O333" i="20"/>
  <c r="N183" i="20"/>
  <c r="N181" i="20" s="1"/>
  <c r="K99" i="20"/>
  <c r="P93" i="20"/>
  <c r="I785" i="20"/>
  <c r="K785" i="20" s="1"/>
  <c r="P348" i="20"/>
  <c r="N330" i="20"/>
  <c r="N328" i="20" s="1"/>
  <c r="L231" i="20"/>
  <c r="K826" i="20"/>
  <c r="L526" i="20"/>
  <c r="O526" i="20" s="1"/>
  <c r="L469" i="20"/>
  <c r="L467" i="20" s="1"/>
  <c r="O431" i="20"/>
  <c r="K159" i="20"/>
  <c r="K143" i="20"/>
  <c r="I131" i="20"/>
  <c r="K131" i="20" s="1"/>
  <c r="K338" i="19"/>
  <c r="L183" i="19"/>
  <c r="L181" i="19" s="1"/>
  <c r="K828" i="20"/>
  <c r="K822" i="20"/>
  <c r="O791" i="20"/>
  <c r="M786" i="20"/>
  <c r="P786" i="20" s="1"/>
  <c r="M754" i="20"/>
  <c r="P754" i="20" s="1"/>
  <c r="N685" i="20"/>
  <c r="I654" i="20"/>
  <c r="L547" i="20"/>
  <c r="I522" i="20"/>
  <c r="K522" i="20" s="1"/>
  <c r="N505" i="20"/>
  <c r="O407" i="20"/>
  <c r="L392" i="20"/>
  <c r="O392" i="20" s="1"/>
  <c r="K381" i="20"/>
  <c r="K362" i="20"/>
  <c r="P333" i="20"/>
  <c r="P301" i="20"/>
  <c r="M300" i="20"/>
  <c r="N263" i="20"/>
  <c r="N261" i="20" s="1"/>
  <c r="N227" i="20"/>
  <c r="L217" i="20"/>
  <c r="O217" i="20" s="1"/>
  <c r="M151" i="20"/>
  <c r="M149" i="20" s="1"/>
  <c r="O140" i="20"/>
  <c r="L134" i="20"/>
  <c r="L132" i="20" s="1"/>
  <c r="O132" i="20" s="1"/>
  <c r="M90" i="20"/>
  <c r="M88" i="20" s="1"/>
  <c r="O71" i="20"/>
  <c r="P61" i="20"/>
  <c r="L228" i="19"/>
  <c r="O74" i="19"/>
  <c r="O549" i="20"/>
  <c r="P524" i="20"/>
  <c r="L470" i="20"/>
  <c r="O470" i="20" s="1"/>
  <c r="P397" i="20"/>
  <c r="P353" i="20"/>
  <c r="P350" i="20"/>
  <c r="N347" i="20"/>
  <c r="N345" i="20" s="1"/>
  <c r="O323" i="20"/>
  <c r="K309" i="20"/>
  <c r="P299" i="20"/>
  <c r="I197" i="20"/>
  <c r="K197" i="20" s="1"/>
  <c r="P173" i="20"/>
  <c r="K145" i="20"/>
  <c r="P127" i="20"/>
  <c r="M29" i="20"/>
  <c r="K827" i="20"/>
  <c r="K824" i="20"/>
  <c r="L805" i="20"/>
  <c r="O805" i="20" s="1"/>
  <c r="N788" i="20"/>
  <c r="N786" i="20" s="1"/>
  <c r="M737" i="20"/>
  <c r="P737" i="20" s="1"/>
  <c r="K720" i="20"/>
  <c r="L477" i="20"/>
  <c r="O477" i="20" s="1"/>
  <c r="N447" i="20"/>
  <c r="M405" i="20"/>
  <c r="P405" i="20" s="1"/>
  <c r="N391" i="20"/>
  <c r="N389" i="20" s="1"/>
  <c r="K365" i="20"/>
  <c r="M347" i="20"/>
  <c r="L317" i="20"/>
  <c r="O317" i="20" s="1"/>
  <c r="M317" i="20"/>
  <c r="P317" i="20" s="1"/>
  <c r="N279" i="20"/>
  <c r="N277" i="20" s="1"/>
  <c r="I276" i="20"/>
  <c r="K276" i="20" s="1"/>
  <c r="K224" i="20"/>
  <c r="K115" i="20"/>
  <c r="K100" i="20"/>
  <c r="M55" i="20"/>
  <c r="M53" i="20" s="1"/>
  <c r="L43" i="20"/>
  <c r="L41" i="20" s="1"/>
  <c r="M68" i="19"/>
  <c r="M66" i="19" s="1"/>
  <c r="M770" i="20"/>
  <c r="P770" i="20" s="1"/>
  <c r="J721" i="20"/>
  <c r="K721" i="20" s="1"/>
  <c r="K271" i="20"/>
  <c r="K193" i="20"/>
  <c r="L68" i="20"/>
  <c r="L66" i="20" s="1"/>
  <c r="O66" i="20" s="1"/>
  <c r="O58" i="20"/>
  <c r="N183" i="19"/>
  <c r="N181" i="19" s="1"/>
  <c r="K823" i="20"/>
  <c r="N444" i="20"/>
  <c r="J364" i="20"/>
  <c r="J143" i="20"/>
  <c r="J131" i="20" s="1"/>
  <c r="M121" i="20"/>
  <c r="P121" i="20" s="1"/>
  <c r="N34" i="20"/>
  <c r="K340" i="19"/>
  <c r="I112" i="19"/>
  <c r="K112" i="19" s="1"/>
  <c r="O806" i="20"/>
  <c r="N756" i="20"/>
  <c r="O660" i="20"/>
  <c r="L446" i="20"/>
  <c r="O446" i="20" s="1"/>
  <c r="K360" i="20"/>
  <c r="O320" i="20"/>
  <c r="N300" i="20"/>
  <c r="N298" i="20" s="1"/>
  <c r="P269" i="20"/>
  <c r="J226" i="20"/>
  <c r="J180" i="20" s="1"/>
  <c r="L209" i="20"/>
  <c r="O209" i="20" s="1"/>
  <c r="O74" i="20"/>
  <c r="O49" i="20"/>
  <c r="L44" i="20"/>
  <c r="M15" i="20"/>
  <c r="L15" i="20"/>
  <c r="J592" i="20"/>
  <c r="K592" i="20" s="1"/>
  <c r="K593" i="20"/>
  <c r="O410" i="20"/>
  <c r="L408" i="20"/>
  <c r="O408" i="20" s="1"/>
  <c r="N155" i="20"/>
  <c r="N151" i="20"/>
  <c r="M528" i="19"/>
  <c r="M525" i="19" s="1"/>
  <c r="P525" i="19" s="1"/>
  <c r="J288" i="19"/>
  <c r="K288" i="19" s="1"/>
  <c r="K821" i="20"/>
  <c r="N773" i="20"/>
  <c r="N740" i="20"/>
  <c r="K723" i="20"/>
  <c r="J669" i="20"/>
  <c r="L632" i="20"/>
  <c r="O632" i="20" s="1"/>
  <c r="M634" i="20"/>
  <c r="J628" i="20"/>
  <c r="K628" i="20" s="1"/>
  <c r="O557" i="20"/>
  <c r="M545" i="20"/>
  <c r="J537" i="20"/>
  <c r="J522" i="20" s="1"/>
  <c r="J433" i="20"/>
  <c r="J417" i="20" s="1"/>
  <c r="I433" i="20"/>
  <c r="K435" i="20"/>
  <c r="N33" i="20"/>
  <c r="N422" i="20"/>
  <c r="O422" i="20" s="1"/>
  <c r="N421" i="20"/>
  <c r="O424" i="20"/>
  <c r="L300" i="20"/>
  <c r="K288" i="20"/>
  <c r="I275" i="20"/>
  <c r="K275" i="20" s="1"/>
  <c r="J288" i="20"/>
  <c r="J275" i="20" s="1"/>
  <c r="K649" i="19"/>
  <c r="K594" i="19"/>
  <c r="M392" i="19"/>
  <c r="P392" i="19" s="1"/>
  <c r="K379" i="19"/>
  <c r="P331" i="19"/>
  <c r="K825" i="20"/>
  <c r="P787" i="20"/>
  <c r="N770" i="20"/>
  <c r="L770" i="20"/>
  <c r="O770" i="20" s="1"/>
  <c r="N737" i="20"/>
  <c r="L737" i="20"/>
  <c r="O737" i="20" s="1"/>
  <c r="O690" i="20"/>
  <c r="O656" i="20"/>
  <c r="N631" i="20"/>
  <c r="N629" i="20" s="1"/>
  <c r="J594" i="20"/>
  <c r="K594" i="20" s="1"/>
  <c r="P549" i="20"/>
  <c r="M547" i="20"/>
  <c r="L304" i="20"/>
  <c r="O304" i="20" s="1"/>
  <c r="N547" i="20"/>
  <c r="O266" i="20"/>
  <c r="L263" i="20"/>
  <c r="L264" i="20"/>
  <c r="O264" i="20" s="1"/>
  <c r="M43" i="18"/>
  <c r="M41" i="18" s="1"/>
  <c r="P397" i="19"/>
  <c r="K370" i="19"/>
  <c r="O331" i="19"/>
  <c r="O186" i="19"/>
  <c r="P61" i="19"/>
  <c r="N807" i="20"/>
  <c r="N805" i="20" s="1"/>
  <c r="M805" i="20"/>
  <c r="P805" i="20" s="1"/>
  <c r="P686" i="20"/>
  <c r="L631" i="20"/>
  <c r="K576" i="20"/>
  <c r="L546" i="20"/>
  <c r="N546" i="20"/>
  <c r="P546" i="20" s="1"/>
  <c r="L533" i="20"/>
  <c r="O533" i="20" s="1"/>
  <c r="O535" i="20"/>
  <c r="L502" i="20"/>
  <c r="O502" i="20" s="1"/>
  <c r="O503" i="20"/>
  <c r="L454" i="20"/>
  <c r="O454" i="20" s="1"/>
  <c r="O456" i="20"/>
  <c r="O449" i="20"/>
  <c r="L447" i="20"/>
  <c r="O447" i="20" s="1"/>
  <c r="M449" i="20"/>
  <c r="N419" i="20"/>
  <c r="L404" i="20"/>
  <c r="O346" i="20"/>
  <c r="L330" i="20"/>
  <c r="O336" i="20"/>
  <c r="L334" i="20"/>
  <c r="O334" i="20" s="1"/>
  <c r="O262" i="20"/>
  <c r="M34" i="20"/>
  <c r="P34" i="20" s="1"/>
  <c r="P36" i="20"/>
  <c r="O390" i="20"/>
  <c r="K370" i="18"/>
  <c r="L546" i="19"/>
  <c r="L544" i="19" s="1"/>
  <c r="O634" i="20"/>
  <c r="M502" i="20"/>
  <c r="P502" i="20" s="1"/>
  <c r="J327" i="20"/>
  <c r="K327" i="20" s="1"/>
  <c r="K338" i="20"/>
  <c r="N318" i="20"/>
  <c r="N317" i="20"/>
  <c r="N315" i="20" s="1"/>
  <c r="O285" i="20"/>
  <c r="L279" i="20"/>
  <c r="O279" i="20" s="1"/>
  <c r="N267" i="20"/>
  <c r="P150" i="20"/>
  <c r="P154" i="19"/>
  <c r="N754" i="20"/>
  <c r="L754" i="20"/>
  <c r="O754" i="20" s="1"/>
  <c r="I543" i="20"/>
  <c r="K543" i="20" s="1"/>
  <c r="I443" i="20"/>
  <c r="K443" i="20" s="1"/>
  <c r="K462" i="20"/>
  <c r="O278" i="20"/>
  <c r="L525" i="20"/>
  <c r="O525" i="20" s="1"/>
  <c r="P468" i="20"/>
  <c r="P394" i="20"/>
  <c r="L351" i="20"/>
  <c r="O351" i="20" s="1"/>
  <c r="M331" i="20"/>
  <c r="P331" i="20" s="1"/>
  <c r="P323" i="20"/>
  <c r="L301" i="20"/>
  <c r="O301" i="20" s="1"/>
  <c r="M283" i="20"/>
  <c r="P283" i="20" s="1"/>
  <c r="M23" i="20"/>
  <c r="L238" i="20"/>
  <c r="I208" i="20"/>
  <c r="K208" i="20" s="1"/>
  <c r="L198" i="20"/>
  <c r="O198" i="20" s="1"/>
  <c r="P186" i="20"/>
  <c r="N184" i="20"/>
  <c r="P184" i="20" s="1"/>
  <c r="O173" i="20"/>
  <c r="O524" i="20"/>
  <c r="O472" i="20"/>
  <c r="K460" i="20"/>
  <c r="M391" i="20"/>
  <c r="P391" i="20" s="1"/>
  <c r="K369" i="20"/>
  <c r="L347" i="20"/>
  <c r="P303" i="20"/>
  <c r="P282" i="20"/>
  <c r="M279" i="20"/>
  <c r="M263" i="20"/>
  <c r="I248" i="20"/>
  <c r="K248" i="20" s="1"/>
  <c r="K255" i="20"/>
  <c r="I233" i="20"/>
  <c r="K233" i="20" s="1"/>
  <c r="I237" i="20"/>
  <c r="K244" i="20"/>
  <c r="L228" i="20"/>
  <c r="O189" i="20"/>
  <c r="L184" i="20"/>
  <c r="L183" i="20"/>
  <c r="I174" i="20"/>
  <c r="K176" i="20"/>
  <c r="L167" i="20"/>
  <c r="N23" i="20"/>
  <c r="N21" i="20" s="1"/>
  <c r="N469" i="20"/>
  <c r="N467" i="20" s="1"/>
  <c r="L267" i="20"/>
  <c r="O267" i="20" s="1"/>
  <c r="O157" i="20"/>
  <c r="L155" i="20"/>
  <c r="O155" i="20" s="1"/>
  <c r="K78" i="20"/>
  <c r="I76" i="20"/>
  <c r="L12" i="20"/>
  <c r="L19" i="20"/>
  <c r="O22" i="20"/>
  <c r="N525" i="20"/>
  <c r="N523" i="20" s="1"/>
  <c r="M472" i="20"/>
  <c r="I434" i="20"/>
  <c r="M404" i="20"/>
  <c r="L348" i="20"/>
  <c r="O348" i="20" s="1"/>
  <c r="M330" i="20"/>
  <c r="P266" i="20"/>
  <c r="M187" i="20"/>
  <c r="P187" i="20" s="1"/>
  <c r="N168" i="20"/>
  <c r="P168" i="20" s="1"/>
  <c r="N167" i="20"/>
  <c r="N165" i="20" s="1"/>
  <c r="P170" i="20"/>
  <c r="K148" i="20"/>
  <c r="N135" i="20"/>
  <c r="N134" i="20"/>
  <c r="N132" i="20" s="1"/>
  <c r="P15" i="20"/>
  <c r="O15" i="20"/>
  <c r="K372" i="20"/>
  <c r="L280" i="20"/>
  <c r="O280" i="20" s="1"/>
  <c r="P264" i="20"/>
  <c r="L249" i="20"/>
  <c r="O249" i="20" s="1"/>
  <c r="L229" i="20"/>
  <c r="O154" i="20"/>
  <c r="L152" i="20"/>
  <c r="O152" i="20" s="1"/>
  <c r="L151" i="20"/>
  <c r="O29" i="20"/>
  <c r="L36" i="20"/>
  <c r="O36" i="20" s="1"/>
  <c r="L33" i="20"/>
  <c r="L31" i="20" s="1"/>
  <c r="L421" i="20"/>
  <c r="O421" i="20" s="1"/>
  <c r="M167" i="20"/>
  <c r="P120" i="20"/>
  <c r="P91" i="20"/>
  <c r="P54" i="20"/>
  <c r="L26" i="20"/>
  <c r="L24" i="20" s="1"/>
  <c r="K81" i="20"/>
  <c r="I77" i="20"/>
  <c r="P152" i="20"/>
  <c r="O127" i="20"/>
  <c r="L125" i="20"/>
  <c r="O125" i="20" s="1"/>
  <c r="K87" i="20"/>
  <c r="O96" i="20"/>
  <c r="L94" i="20"/>
  <c r="O94" i="20" s="1"/>
  <c r="P58" i="20"/>
  <c r="N56" i="20"/>
  <c r="P56" i="20" s="1"/>
  <c r="P29" i="20"/>
  <c r="N121" i="20"/>
  <c r="N119" i="20" s="1"/>
  <c r="K98" i="20"/>
  <c r="J86" i="20"/>
  <c r="K86" i="20" s="1"/>
  <c r="O93" i="20"/>
  <c r="L91" i="20"/>
  <c r="O91" i="20" s="1"/>
  <c r="N55" i="20"/>
  <c r="N53" i="20" s="1"/>
  <c r="O35" i="20"/>
  <c r="P140" i="20"/>
  <c r="P137" i="20"/>
  <c r="P74" i="20"/>
  <c r="P71" i="20"/>
  <c r="P49" i="20"/>
  <c r="P46" i="20"/>
  <c r="L23" i="20"/>
  <c r="N19" i="20"/>
  <c r="N12" i="20"/>
  <c r="L121" i="20"/>
  <c r="L55" i="20"/>
  <c r="O46" i="20"/>
  <c r="N26" i="20"/>
  <c r="M19" i="20"/>
  <c r="M12" i="20"/>
  <c r="L122" i="20"/>
  <c r="O122" i="20" s="1"/>
  <c r="N68" i="20"/>
  <c r="N66" i="20" s="1"/>
  <c r="L59" i="20"/>
  <c r="O59" i="20" s="1"/>
  <c r="L56" i="20"/>
  <c r="N43" i="20"/>
  <c r="M26" i="20"/>
  <c r="M24" i="20" s="1"/>
  <c r="M134" i="20"/>
  <c r="N90" i="20"/>
  <c r="N88" i="20" s="1"/>
  <c r="M68" i="20"/>
  <c r="P68" i="20" s="1"/>
  <c r="N44" i="20"/>
  <c r="P44" i="20" s="1"/>
  <c r="M43" i="20"/>
  <c r="P43" i="20" s="1"/>
  <c r="N29" i="20"/>
  <c r="P32" i="20"/>
  <c r="P25" i="20"/>
  <c r="J288" i="18"/>
  <c r="J275" i="18" s="1"/>
  <c r="K275" i="18" s="1"/>
  <c r="L469" i="19"/>
  <c r="L467" i="19" s="1"/>
  <c r="K115" i="19"/>
  <c r="N68" i="19"/>
  <c r="N66" i="19" s="1"/>
  <c r="K821" i="19"/>
  <c r="P407" i="19"/>
  <c r="K372" i="19"/>
  <c r="K369" i="19"/>
  <c r="K360" i="19"/>
  <c r="K801" i="19"/>
  <c r="K355" i="19"/>
  <c r="P323" i="19"/>
  <c r="O394" i="19"/>
  <c r="O189" i="19"/>
  <c r="L187" i="19"/>
  <c r="O187" i="19" s="1"/>
  <c r="K176" i="19"/>
  <c r="K822" i="19"/>
  <c r="J785" i="19"/>
  <c r="K674" i="19"/>
  <c r="L249" i="19"/>
  <c r="O249" i="19" s="1"/>
  <c r="L229" i="19"/>
  <c r="M660" i="19"/>
  <c r="M658" i="19" s="1"/>
  <c r="P658" i="19" s="1"/>
  <c r="P410" i="19"/>
  <c r="K100" i="19"/>
  <c r="M90" i="19"/>
  <c r="K649" i="18"/>
  <c r="L167" i="19"/>
  <c r="L165" i="19" s="1"/>
  <c r="N134" i="19"/>
  <c r="N132" i="19" s="1"/>
  <c r="L43" i="19"/>
  <c r="L41" i="19" s="1"/>
  <c r="L639" i="19"/>
  <c r="O639" i="19" s="1"/>
  <c r="K378" i="19"/>
  <c r="O323" i="19"/>
  <c r="L263" i="19"/>
  <c r="L261" i="19" s="1"/>
  <c r="L121" i="19"/>
  <c r="L119" i="19" s="1"/>
  <c r="O127" i="18"/>
  <c r="I785" i="19"/>
  <c r="I434" i="19"/>
  <c r="I418" i="19" s="1"/>
  <c r="K418" i="19" s="1"/>
  <c r="L421" i="19"/>
  <c r="O421" i="19" s="1"/>
  <c r="N300" i="19"/>
  <c r="N298" i="19" s="1"/>
  <c r="O154" i="19"/>
  <c r="K86" i="19"/>
  <c r="L68" i="19"/>
  <c r="L631" i="19"/>
  <c r="L629" i="19" s="1"/>
  <c r="O285" i="19"/>
  <c r="O173" i="19"/>
  <c r="L168" i="19"/>
  <c r="O127" i="19"/>
  <c r="O93" i="19"/>
  <c r="O49" i="19"/>
  <c r="K174" i="19"/>
  <c r="I164" i="19"/>
  <c r="K164" i="19" s="1"/>
  <c r="L404" i="18"/>
  <c r="L402" i="18" s="1"/>
  <c r="O402" i="18" s="1"/>
  <c r="J143" i="18"/>
  <c r="J131" i="18" s="1"/>
  <c r="K824" i="19"/>
  <c r="O788" i="19"/>
  <c r="N688" i="19"/>
  <c r="L658" i="19"/>
  <c r="O658" i="19" s="1"/>
  <c r="K647" i="19"/>
  <c r="M634" i="19"/>
  <c r="M631" i="19" s="1"/>
  <c r="M629" i="19" s="1"/>
  <c r="K569" i="19"/>
  <c r="P555" i="19"/>
  <c r="N504" i="19"/>
  <c r="K465" i="19"/>
  <c r="N447" i="19"/>
  <c r="N444" i="19"/>
  <c r="M404" i="19"/>
  <c r="M402" i="19" s="1"/>
  <c r="P402" i="19" s="1"/>
  <c r="M391" i="19"/>
  <c r="P391" i="19" s="1"/>
  <c r="N391" i="19"/>
  <c r="N389" i="19" s="1"/>
  <c r="M317" i="19"/>
  <c r="K287" i="19"/>
  <c r="L267" i="19"/>
  <c r="O267" i="19" s="1"/>
  <c r="L264" i="19"/>
  <c r="I248" i="19"/>
  <c r="K248" i="19" s="1"/>
  <c r="L238" i="19"/>
  <c r="O238" i="19" s="1"/>
  <c r="I237" i="19"/>
  <c r="I233" i="19"/>
  <c r="K233" i="19" s="1"/>
  <c r="K208" i="19"/>
  <c r="I197" i="19"/>
  <c r="K197" i="19" s="1"/>
  <c r="J164" i="19"/>
  <c r="O157" i="19"/>
  <c r="L151" i="19"/>
  <c r="O151" i="19" s="1"/>
  <c r="N121" i="19"/>
  <c r="N119" i="19" s="1"/>
  <c r="K99" i="19"/>
  <c r="P96" i="19"/>
  <c r="I77" i="19"/>
  <c r="K77" i="19" s="1"/>
  <c r="L69" i="19"/>
  <c r="O69" i="19" s="1"/>
  <c r="O738" i="19"/>
  <c r="N544" i="19"/>
  <c r="J433" i="19"/>
  <c r="J417" i="19" s="1"/>
  <c r="K417" i="19" s="1"/>
  <c r="M330" i="19"/>
  <c r="M328" i="19" s="1"/>
  <c r="P333" i="19"/>
  <c r="K276" i="19"/>
  <c r="I190" i="19"/>
  <c r="K190" i="19" s="1"/>
  <c r="M151" i="19"/>
  <c r="P151" i="19" s="1"/>
  <c r="P140" i="19"/>
  <c r="O96" i="19"/>
  <c r="I76" i="19"/>
  <c r="M55" i="19"/>
  <c r="M53" i="19" s="1"/>
  <c r="M29" i="19"/>
  <c r="P29" i="19" s="1"/>
  <c r="K723" i="18"/>
  <c r="K803" i="19"/>
  <c r="N772" i="19"/>
  <c r="N770" i="19" s="1"/>
  <c r="L770" i="19"/>
  <c r="O770" i="19" s="1"/>
  <c r="J721" i="19"/>
  <c r="K672" i="19"/>
  <c r="O535" i="19"/>
  <c r="O528" i="19"/>
  <c r="N526" i="19"/>
  <c r="L446" i="19"/>
  <c r="O446" i="19" s="1"/>
  <c r="L447" i="19"/>
  <c r="O447" i="19" s="1"/>
  <c r="M315" i="19"/>
  <c r="K146" i="19"/>
  <c r="M91" i="19"/>
  <c r="K87" i="19"/>
  <c r="K828" i="19"/>
  <c r="N546" i="19"/>
  <c r="O526" i="19"/>
  <c r="K435" i="19"/>
  <c r="K385" i="19"/>
  <c r="K362" i="19"/>
  <c r="O353" i="19"/>
  <c r="O125" i="19"/>
  <c r="K98" i="19"/>
  <c r="N90" i="19"/>
  <c r="N88" i="19" s="1"/>
  <c r="N756" i="19"/>
  <c r="N754" i="19" s="1"/>
  <c r="N502" i="19"/>
  <c r="O351" i="19"/>
  <c r="N279" i="19"/>
  <c r="N277" i="19" s="1"/>
  <c r="N227" i="19"/>
  <c r="L209" i="19"/>
  <c r="O209" i="19" s="1"/>
  <c r="M171" i="19"/>
  <c r="P171" i="19" s="1"/>
  <c r="L805" i="19"/>
  <c r="O805" i="19" s="1"/>
  <c r="O771" i="19"/>
  <c r="J722" i="19"/>
  <c r="K675" i="19"/>
  <c r="K669" i="19"/>
  <c r="I654" i="19"/>
  <c r="K654" i="19" s="1"/>
  <c r="O634" i="19"/>
  <c r="L632" i="19"/>
  <c r="O632" i="19" s="1"/>
  <c r="K365" i="19"/>
  <c r="P353" i="19"/>
  <c r="M347" i="19"/>
  <c r="O336" i="19"/>
  <c r="L317" i="19"/>
  <c r="L315" i="19" s="1"/>
  <c r="I314" i="19"/>
  <c r="K314" i="19" s="1"/>
  <c r="P306" i="19"/>
  <c r="I260" i="19"/>
  <c r="K260" i="19" s="1"/>
  <c r="L231" i="19"/>
  <c r="P184" i="19"/>
  <c r="M167" i="19"/>
  <c r="L122" i="19"/>
  <c r="O122" i="19" s="1"/>
  <c r="O71" i="19"/>
  <c r="P58" i="19"/>
  <c r="M56" i="19"/>
  <c r="P56" i="19" s="1"/>
  <c r="L44" i="19"/>
  <c r="M15" i="19"/>
  <c r="L15" i="19"/>
  <c r="N655" i="19"/>
  <c r="O657" i="19"/>
  <c r="J592" i="19"/>
  <c r="K593" i="19"/>
  <c r="O546" i="19"/>
  <c r="P547" i="19"/>
  <c r="L555" i="19"/>
  <c r="O555" i="19" s="1"/>
  <c r="O503" i="19"/>
  <c r="L502" i="19"/>
  <c r="O502" i="19" s="1"/>
  <c r="L408" i="19"/>
  <c r="O408" i="19" s="1"/>
  <c r="O410" i="19"/>
  <c r="N318" i="19"/>
  <c r="P320" i="19"/>
  <c r="N317" i="19"/>
  <c r="K826" i="18"/>
  <c r="K823" i="18"/>
  <c r="K729" i="18"/>
  <c r="K700" i="18"/>
  <c r="K628" i="18"/>
  <c r="K823" i="19"/>
  <c r="M791" i="19"/>
  <c r="P687" i="19"/>
  <c r="O557" i="19"/>
  <c r="O549" i="19"/>
  <c r="L547" i="19"/>
  <c r="O547" i="19" s="1"/>
  <c r="L525" i="19"/>
  <c r="O525" i="19" s="1"/>
  <c r="L470" i="19"/>
  <c r="O470" i="19" s="1"/>
  <c r="M472" i="19"/>
  <c r="O472" i="19"/>
  <c r="N469" i="19"/>
  <c r="N467" i="19" s="1"/>
  <c r="N414" i="19" s="1"/>
  <c r="M444" i="19"/>
  <c r="P444" i="19" s="1"/>
  <c r="L33" i="19"/>
  <c r="L31" i="19" s="1"/>
  <c r="M424" i="19"/>
  <c r="O424" i="19"/>
  <c r="L422" i="19"/>
  <c r="L391" i="19"/>
  <c r="O397" i="19"/>
  <c r="L395" i="19"/>
  <c r="O395" i="19" s="1"/>
  <c r="P299" i="19"/>
  <c r="O282" i="19"/>
  <c r="L280" i="19"/>
  <c r="L279" i="19"/>
  <c r="P54" i="19"/>
  <c r="K828" i="18"/>
  <c r="K825" i="18"/>
  <c r="K822" i="18"/>
  <c r="K800" i="18"/>
  <c r="K827" i="19"/>
  <c r="M805" i="19"/>
  <c r="P805" i="19" s="1"/>
  <c r="O755" i="19"/>
  <c r="O660" i="19"/>
  <c r="L655" i="19"/>
  <c r="N631" i="19"/>
  <c r="K560" i="19"/>
  <c r="M546" i="19"/>
  <c r="P546" i="19" s="1"/>
  <c r="O456" i="19"/>
  <c r="L454" i="19"/>
  <c r="O454" i="19" s="1"/>
  <c r="P266" i="19"/>
  <c r="N264" i="19"/>
  <c r="N263" i="19"/>
  <c r="O266" i="19"/>
  <c r="K159" i="19"/>
  <c r="I148" i="19"/>
  <c r="K148" i="19" s="1"/>
  <c r="L789" i="19"/>
  <c r="O789" i="19" s="1"/>
  <c r="K577" i="18"/>
  <c r="O266" i="18"/>
  <c r="L687" i="19"/>
  <c r="O687" i="19" s="1"/>
  <c r="K621" i="19"/>
  <c r="K592" i="19"/>
  <c r="K568" i="19"/>
  <c r="P549" i="19"/>
  <c r="J537" i="19"/>
  <c r="J522" i="19" s="1"/>
  <c r="N523" i="19"/>
  <c r="I522" i="19"/>
  <c r="M502" i="19"/>
  <c r="P502" i="19" s="1"/>
  <c r="I443" i="19"/>
  <c r="K443" i="19" s="1"/>
  <c r="L405" i="19"/>
  <c r="O405" i="19" s="1"/>
  <c r="O407" i="19"/>
  <c r="N404" i="19"/>
  <c r="N402" i="19" s="1"/>
  <c r="N348" i="19"/>
  <c r="O348" i="19" s="1"/>
  <c r="N347" i="19"/>
  <c r="N345" i="19" s="1"/>
  <c r="L304" i="19"/>
  <c r="O304" i="19" s="1"/>
  <c r="P182" i="19"/>
  <c r="M34" i="19"/>
  <c r="P34" i="19" s="1"/>
  <c r="P36" i="19"/>
  <c r="I628" i="19"/>
  <c r="K628" i="19" s="1"/>
  <c r="P186" i="19"/>
  <c r="M183" i="19"/>
  <c r="L786" i="19"/>
  <c r="O786" i="19" s="1"/>
  <c r="P771" i="19"/>
  <c r="M754" i="19"/>
  <c r="P754" i="19" s="1"/>
  <c r="P738" i="19"/>
  <c r="P656" i="19"/>
  <c r="I559" i="19"/>
  <c r="L477" i="19"/>
  <c r="O477" i="19" s="1"/>
  <c r="O479" i="19"/>
  <c r="P468" i="19"/>
  <c r="O445" i="19"/>
  <c r="L36" i="19"/>
  <c r="O36" i="19" s="1"/>
  <c r="O431" i="19"/>
  <c r="L429" i="19"/>
  <c r="O429" i="19" s="1"/>
  <c r="P420" i="19"/>
  <c r="L404" i="19"/>
  <c r="O404" i="19" s="1"/>
  <c r="J374" i="19"/>
  <c r="J364" i="19" s="1"/>
  <c r="K381" i="19"/>
  <c r="P285" i="19"/>
  <c r="M279" i="19"/>
  <c r="M283" i="19"/>
  <c r="P283" i="19" s="1"/>
  <c r="N23" i="19"/>
  <c r="N21" i="19" s="1"/>
  <c r="N44" i="19"/>
  <c r="O46" i="19"/>
  <c r="N43" i="19"/>
  <c r="N41" i="19" s="1"/>
  <c r="O791" i="19"/>
  <c r="O690" i="19"/>
  <c r="N629" i="19"/>
  <c r="P545" i="19"/>
  <c r="O524" i="19"/>
  <c r="I442" i="19"/>
  <c r="K442" i="19" s="1"/>
  <c r="K460" i="19"/>
  <c r="N33" i="19"/>
  <c r="N422" i="19"/>
  <c r="P329" i="19"/>
  <c r="M134" i="19"/>
  <c r="P134" i="19" s="1"/>
  <c r="P137" i="19"/>
  <c r="M135" i="19"/>
  <c r="P135" i="19" s="1"/>
  <c r="I364" i="19"/>
  <c r="O350" i="19"/>
  <c r="M334" i="19"/>
  <c r="P334" i="19" s="1"/>
  <c r="O320" i="19"/>
  <c r="P282" i="19"/>
  <c r="N280" i="19"/>
  <c r="P280" i="19" s="1"/>
  <c r="O262" i="19"/>
  <c r="K236" i="19"/>
  <c r="L198" i="19"/>
  <c r="O198" i="19" s="1"/>
  <c r="P150" i="19"/>
  <c r="M125" i="19"/>
  <c r="P125" i="19" s="1"/>
  <c r="M121" i="19"/>
  <c r="P127" i="19"/>
  <c r="O449" i="19"/>
  <c r="P350" i="19"/>
  <c r="L347" i="19"/>
  <c r="P336" i="19"/>
  <c r="O333" i="19"/>
  <c r="N330" i="19"/>
  <c r="N328" i="19" s="1"/>
  <c r="J327" i="19"/>
  <c r="K327" i="19" s="1"/>
  <c r="P316" i="19"/>
  <c r="K309" i="19"/>
  <c r="P303" i="19"/>
  <c r="M300" i="19"/>
  <c r="P300" i="19" s="1"/>
  <c r="P269" i="19"/>
  <c r="K225" i="19"/>
  <c r="K215" i="19"/>
  <c r="O184" i="19"/>
  <c r="O182" i="19"/>
  <c r="I143" i="19"/>
  <c r="J143" i="19"/>
  <c r="J131" i="19" s="1"/>
  <c r="O137" i="19"/>
  <c r="L134" i="19"/>
  <c r="O134" i="19" s="1"/>
  <c r="M44" i="19"/>
  <c r="M43" i="19"/>
  <c r="M41" i="19" s="1"/>
  <c r="P46" i="19"/>
  <c r="M23" i="19"/>
  <c r="P346" i="19"/>
  <c r="L300" i="19"/>
  <c r="I216" i="19"/>
  <c r="K216" i="19" s="1"/>
  <c r="K224" i="19"/>
  <c r="N187" i="19"/>
  <c r="N167" i="19"/>
  <c r="O170" i="19"/>
  <c r="N168" i="19"/>
  <c r="P93" i="19"/>
  <c r="N91" i="19"/>
  <c r="O89" i="19"/>
  <c r="P42" i="19"/>
  <c r="L12" i="19"/>
  <c r="L19" i="19"/>
  <c r="O22" i="19"/>
  <c r="M351" i="19"/>
  <c r="P351" i="19" s="1"/>
  <c r="L330" i="19"/>
  <c r="P189" i="19"/>
  <c r="M187" i="19"/>
  <c r="P187" i="19" s="1"/>
  <c r="P170" i="19"/>
  <c r="M168" i="19"/>
  <c r="K79" i="19"/>
  <c r="P15" i="19"/>
  <c r="O15" i="19"/>
  <c r="L301" i="19"/>
  <c r="O301" i="19" s="1"/>
  <c r="M263" i="19"/>
  <c r="N138" i="19"/>
  <c r="O58" i="19"/>
  <c r="L55" i="19"/>
  <c r="O29" i="19"/>
  <c r="P166" i="19"/>
  <c r="P157" i="19"/>
  <c r="N151" i="19"/>
  <c r="N149" i="19" s="1"/>
  <c r="P124" i="19"/>
  <c r="L90" i="19"/>
  <c r="K78" i="19"/>
  <c r="P59" i="19"/>
  <c r="N55" i="19"/>
  <c r="N53" i="19" s="1"/>
  <c r="N26" i="19"/>
  <c r="L138" i="19"/>
  <c r="O138" i="19" s="1"/>
  <c r="M69" i="19"/>
  <c r="P69" i="19" s="1"/>
  <c r="P71" i="19"/>
  <c r="M47" i="19"/>
  <c r="P47" i="19" s="1"/>
  <c r="M26" i="19"/>
  <c r="M24" i="19" s="1"/>
  <c r="P49" i="19"/>
  <c r="O61" i="19"/>
  <c r="L26" i="19"/>
  <c r="L24" i="19" s="1"/>
  <c r="L217" i="19"/>
  <c r="O217" i="19" s="1"/>
  <c r="M72" i="19"/>
  <c r="P72" i="19" s="1"/>
  <c r="P74" i="19"/>
  <c r="O35" i="19"/>
  <c r="L23" i="19"/>
  <c r="N19" i="19"/>
  <c r="N12" i="19"/>
  <c r="M19" i="19"/>
  <c r="M12" i="19"/>
  <c r="N29" i="19"/>
  <c r="P32" i="19"/>
  <c r="P25" i="19"/>
  <c r="K827" i="18"/>
  <c r="K824" i="18"/>
  <c r="K466" i="18"/>
  <c r="I434" i="18"/>
  <c r="I418" i="18" s="1"/>
  <c r="K418" i="18" s="1"/>
  <c r="N330" i="18"/>
  <c r="N328" i="18" s="1"/>
  <c r="M317" i="18"/>
  <c r="P317" i="18" s="1"/>
  <c r="M55" i="18"/>
  <c r="M53" i="18" s="1"/>
  <c r="L546" i="18"/>
  <c r="L544" i="18" s="1"/>
  <c r="P394" i="18"/>
  <c r="K355" i="18"/>
  <c r="K340" i="18"/>
  <c r="K647" i="18"/>
  <c r="M449" i="18"/>
  <c r="M446" i="18" s="1"/>
  <c r="K369" i="18"/>
  <c r="K360" i="18"/>
  <c r="K821" i="18"/>
  <c r="K362" i="18"/>
  <c r="P353" i="18"/>
  <c r="L347" i="18"/>
  <c r="L345" i="18" s="1"/>
  <c r="L209" i="18"/>
  <c r="O209" i="18" s="1"/>
  <c r="L187" i="18"/>
  <c r="O187" i="18" s="1"/>
  <c r="L555" i="18"/>
  <c r="O555" i="18" s="1"/>
  <c r="P184" i="18"/>
  <c r="L43" i="18"/>
  <c r="L41" i="18" s="1"/>
  <c r="J722" i="18"/>
  <c r="K722" i="18" s="1"/>
  <c r="P306" i="18"/>
  <c r="L228" i="18"/>
  <c r="N90" i="18"/>
  <c r="N88" i="18" s="1"/>
  <c r="P61" i="18"/>
  <c r="O285" i="18"/>
  <c r="N151" i="18"/>
  <c r="N149" i="18" s="1"/>
  <c r="L72" i="18"/>
  <c r="O72" i="18" s="1"/>
  <c r="K372" i="18"/>
  <c r="L121" i="18"/>
  <c r="O121" i="18" s="1"/>
  <c r="N523" i="18"/>
  <c r="P806" i="18"/>
  <c r="L770" i="18"/>
  <c r="O770" i="18" s="1"/>
  <c r="N740" i="18"/>
  <c r="J721" i="18"/>
  <c r="K721" i="18" s="1"/>
  <c r="K720" i="18"/>
  <c r="K699" i="18"/>
  <c r="M660" i="18"/>
  <c r="M658" i="18" s="1"/>
  <c r="N632" i="18"/>
  <c r="J593" i="18"/>
  <c r="J592" i="18" s="1"/>
  <c r="J433" i="18"/>
  <c r="J417" i="18" s="1"/>
  <c r="K417" i="18" s="1"/>
  <c r="O353" i="18"/>
  <c r="K338" i="18"/>
  <c r="L330" i="18"/>
  <c r="L328" i="18" s="1"/>
  <c r="M321" i="18"/>
  <c r="P321" i="18" s="1"/>
  <c r="L300" i="18"/>
  <c r="L298" i="18" s="1"/>
  <c r="L279" i="18"/>
  <c r="L277" i="18" s="1"/>
  <c r="O269" i="18"/>
  <c r="L249" i="18"/>
  <c r="O249" i="18" s="1"/>
  <c r="I233" i="18"/>
  <c r="K233" i="18" s="1"/>
  <c r="N227" i="18"/>
  <c r="L155" i="18"/>
  <c r="O155" i="18" s="1"/>
  <c r="N152" i="18"/>
  <c r="O152" i="18" s="1"/>
  <c r="L138" i="18"/>
  <c r="O138" i="18" s="1"/>
  <c r="K100" i="18"/>
  <c r="L90" i="18"/>
  <c r="L88" i="18" s="1"/>
  <c r="L68" i="18"/>
  <c r="L66" i="18" s="1"/>
  <c r="M56" i="18"/>
  <c r="L44" i="18"/>
  <c r="M15" i="18"/>
  <c r="K537" i="18"/>
  <c r="N525" i="18"/>
  <c r="O503" i="18"/>
  <c r="O479" i="18"/>
  <c r="K435" i="18"/>
  <c r="P410" i="18"/>
  <c r="P397" i="18"/>
  <c r="K365" i="18"/>
  <c r="K359" i="18"/>
  <c r="O350" i="18"/>
  <c r="L348" i="18"/>
  <c r="O348" i="18" s="1"/>
  <c r="P320" i="18"/>
  <c r="M318" i="18"/>
  <c r="P318" i="18" s="1"/>
  <c r="K309" i="18"/>
  <c r="L263" i="18"/>
  <c r="L261" i="18" s="1"/>
  <c r="N263" i="18"/>
  <c r="N261" i="18" s="1"/>
  <c r="L231" i="18"/>
  <c r="K197" i="18"/>
  <c r="K146" i="18"/>
  <c r="P137" i="18"/>
  <c r="P96" i="18"/>
  <c r="L754" i="18"/>
  <c r="O754" i="18" s="1"/>
  <c r="K701" i="18"/>
  <c r="M634" i="18"/>
  <c r="M631" i="18" s="1"/>
  <c r="P631" i="18" s="1"/>
  <c r="L525" i="18"/>
  <c r="L523" i="18" s="1"/>
  <c r="O523" i="18" s="1"/>
  <c r="P407" i="18"/>
  <c r="I364" i="18"/>
  <c r="J327" i="18"/>
  <c r="K327" i="18" s="1"/>
  <c r="P336" i="18"/>
  <c r="L230" i="18"/>
  <c r="I190" i="18"/>
  <c r="K190" i="18" s="1"/>
  <c r="L167" i="18"/>
  <c r="L165" i="18" s="1"/>
  <c r="M23" i="18"/>
  <c r="M21" i="18" s="1"/>
  <c r="K99" i="18"/>
  <c r="M72" i="18"/>
  <c r="P72" i="18" s="1"/>
  <c r="M29" i="18"/>
  <c r="M737" i="18"/>
  <c r="P737" i="18" s="1"/>
  <c r="O632" i="18"/>
  <c r="K438" i="18"/>
  <c r="N404" i="18"/>
  <c r="N402" i="18" s="1"/>
  <c r="K379" i="18"/>
  <c r="M347" i="18"/>
  <c r="M345" i="18" s="1"/>
  <c r="P333" i="18"/>
  <c r="K325" i="18"/>
  <c r="P303" i="18"/>
  <c r="O282" i="18"/>
  <c r="L198" i="18"/>
  <c r="O198" i="18" s="1"/>
  <c r="L151" i="18"/>
  <c r="P93" i="18"/>
  <c r="N91" i="18"/>
  <c r="P91" i="18" s="1"/>
  <c r="P69" i="18"/>
  <c r="N12" i="18"/>
  <c r="N757" i="18"/>
  <c r="K725" i="18"/>
  <c r="K708" i="18"/>
  <c r="O688" i="18"/>
  <c r="L658" i="18"/>
  <c r="L547" i="18"/>
  <c r="O547" i="18" s="1"/>
  <c r="L533" i="18"/>
  <c r="O533" i="18" s="1"/>
  <c r="N504" i="18"/>
  <c r="N502" i="18" s="1"/>
  <c r="L469" i="18"/>
  <c r="L467" i="18" s="1"/>
  <c r="M404" i="18"/>
  <c r="M402" i="18" s="1"/>
  <c r="P402" i="18" s="1"/>
  <c r="M183" i="18"/>
  <c r="M181" i="18" s="1"/>
  <c r="L134" i="18"/>
  <c r="O134" i="18" s="1"/>
  <c r="O61" i="18"/>
  <c r="N770" i="18"/>
  <c r="O755" i="18"/>
  <c r="N688" i="18"/>
  <c r="O660" i="18"/>
  <c r="K621" i="18"/>
  <c r="J594" i="18"/>
  <c r="K594" i="18" s="1"/>
  <c r="K568" i="18"/>
  <c r="M523" i="18"/>
  <c r="P523" i="18" s="1"/>
  <c r="M391" i="18"/>
  <c r="P391" i="18" s="1"/>
  <c r="K385" i="18"/>
  <c r="K378" i="18"/>
  <c r="M330" i="18"/>
  <c r="M328" i="18" s="1"/>
  <c r="M279" i="18"/>
  <c r="M277" i="18" s="1"/>
  <c r="L264" i="18"/>
  <c r="O264" i="18" s="1"/>
  <c r="L217" i="18"/>
  <c r="O217" i="18" s="1"/>
  <c r="L183" i="18"/>
  <c r="I174" i="18"/>
  <c r="K174" i="18" s="1"/>
  <c r="L171" i="18"/>
  <c r="O171" i="18" s="1"/>
  <c r="L168" i="18"/>
  <c r="O168" i="18" s="1"/>
  <c r="P140" i="18"/>
  <c r="N121" i="18"/>
  <c r="N119" i="18" s="1"/>
  <c r="L122" i="18"/>
  <c r="O122" i="18" s="1"/>
  <c r="I112" i="18"/>
  <c r="K112" i="18" s="1"/>
  <c r="M90" i="18"/>
  <c r="M88" i="18" s="1"/>
  <c r="M68" i="18"/>
  <c r="M66" i="18" s="1"/>
  <c r="P67" i="18"/>
  <c r="M44" i="18"/>
  <c r="N34" i="18"/>
  <c r="K576" i="18"/>
  <c r="O657" i="18"/>
  <c r="L655" i="18"/>
  <c r="P545" i="18"/>
  <c r="K385" i="16"/>
  <c r="K378" i="16"/>
  <c r="K370" i="16"/>
  <c r="K340" i="16"/>
  <c r="N807" i="18"/>
  <c r="N805" i="18" s="1"/>
  <c r="O791" i="18"/>
  <c r="N788" i="18"/>
  <c r="N786" i="18" s="1"/>
  <c r="K675" i="18"/>
  <c r="N658" i="18"/>
  <c r="K651" i="18"/>
  <c r="L639" i="18"/>
  <c r="O639" i="18" s="1"/>
  <c r="L631" i="18"/>
  <c r="O631" i="18" s="1"/>
  <c r="L454" i="18"/>
  <c r="O454" i="18" s="1"/>
  <c r="O456" i="18"/>
  <c r="N33" i="18"/>
  <c r="N422" i="18"/>
  <c r="O410" i="18"/>
  <c r="L408" i="18"/>
  <c r="O408" i="18" s="1"/>
  <c r="P266" i="18"/>
  <c r="M264" i="18"/>
  <c r="P264" i="18" s="1"/>
  <c r="M263" i="18"/>
  <c r="K87" i="18"/>
  <c r="O96" i="18"/>
  <c r="L94" i="18"/>
  <c r="O94" i="18" s="1"/>
  <c r="O29" i="18"/>
  <c r="N657" i="18"/>
  <c r="N655" i="18" s="1"/>
  <c r="P316" i="18"/>
  <c r="P630" i="18"/>
  <c r="I559" i="18"/>
  <c r="P555" i="18"/>
  <c r="O549" i="18"/>
  <c r="L446" i="18"/>
  <c r="L444" i="18" s="1"/>
  <c r="P424" i="18"/>
  <c r="M422" i="18"/>
  <c r="P422" i="18" s="1"/>
  <c r="M421" i="18"/>
  <c r="P421" i="18" s="1"/>
  <c r="O407" i="18"/>
  <c r="L405" i="18"/>
  <c r="O405" i="18" s="1"/>
  <c r="O351" i="18"/>
  <c r="O336" i="18"/>
  <c r="L334" i="18"/>
  <c r="O334" i="18" s="1"/>
  <c r="P301" i="18"/>
  <c r="O280" i="18"/>
  <c r="P54" i="18"/>
  <c r="O323" i="16"/>
  <c r="L788" i="18"/>
  <c r="O788" i="18" s="1"/>
  <c r="O690" i="18"/>
  <c r="K674" i="18"/>
  <c r="P656" i="18"/>
  <c r="I654" i="18"/>
  <c r="K654" i="18" s="1"/>
  <c r="O630" i="18"/>
  <c r="I592" i="18"/>
  <c r="N546" i="18"/>
  <c r="P503" i="18"/>
  <c r="M502" i="18"/>
  <c r="P502" i="18" s="1"/>
  <c r="I443" i="18"/>
  <c r="K443" i="18" s="1"/>
  <c r="K462" i="18"/>
  <c r="P420" i="18"/>
  <c r="N391" i="18"/>
  <c r="N389" i="18" s="1"/>
  <c r="O333" i="18"/>
  <c r="L331" i="18"/>
  <c r="N317" i="18"/>
  <c r="N315" i="18" s="1"/>
  <c r="I276" i="18"/>
  <c r="K276" i="18" s="1"/>
  <c r="O449" i="18"/>
  <c r="N446" i="18"/>
  <c r="N444" i="18" s="1"/>
  <c r="P390" i="18"/>
  <c r="L687" i="18"/>
  <c r="O687" i="18" s="1"/>
  <c r="K673" i="18"/>
  <c r="K669" i="18"/>
  <c r="O634" i="18"/>
  <c r="M549" i="18"/>
  <c r="L12" i="18"/>
  <c r="L19" i="18"/>
  <c r="O22" i="18"/>
  <c r="O447" i="18"/>
  <c r="M690" i="18"/>
  <c r="N447" i="18"/>
  <c r="O445" i="18"/>
  <c r="J374" i="18"/>
  <c r="K374" i="18" s="1"/>
  <c r="K381" i="18"/>
  <c r="K81" i="18"/>
  <c r="I77" i="18"/>
  <c r="L526" i="18"/>
  <c r="O526" i="18" s="1"/>
  <c r="P524" i="18"/>
  <c r="L470" i="18"/>
  <c r="O470" i="18" s="1"/>
  <c r="P468" i="18"/>
  <c r="I442" i="18"/>
  <c r="K442" i="18" s="1"/>
  <c r="O424" i="18"/>
  <c r="N405" i="18"/>
  <c r="O397" i="18"/>
  <c r="O394" i="18"/>
  <c r="M351" i="18"/>
  <c r="P351" i="18" s="1"/>
  <c r="M348" i="18"/>
  <c r="P348" i="18" s="1"/>
  <c r="N331" i="18"/>
  <c r="P331" i="18" s="1"/>
  <c r="O323" i="18"/>
  <c r="O320" i="18"/>
  <c r="L304" i="18"/>
  <c r="O304" i="18" s="1"/>
  <c r="L301" i="18"/>
  <c r="O301" i="18" s="1"/>
  <c r="P299" i="18"/>
  <c r="M283" i="18"/>
  <c r="P283" i="18" s="1"/>
  <c r="M280" i="18"/>
  <c r="P280" i="18" s="1"/>
  <c r="P269" i="18"/>
  <c r="P127" i="18"/>
  <c r="M125" i="18"/>
  <c r="P125" i="18" s="1"/>
  <c r="O120" i="18"/>
  <c r="L26" i="18"/>
  <c r="P15" i="18"/>
  <c r="L15" i="18"/>
  <c r="J537" i="18"/>
  <c r="J522" i="18" s="1"/>
  <c r="O472" i="18"/>
  <c r="P350" i="18"/>
  <c r="O303" i="18"/>
  <c r="P282" i="18"/>
  <c r="O262" i="18"/>
  <c r="I248" i="18"/>
  <c r="K248" i="18" s="1"/>
  <c r="K255" i="18"/>
  <c r="I208" i="18"/>
  <c r="K208" i="18" s="1"/>
  <c r="O184" i="18"/>
  <c r="P168" i="18"/>
  <c r="I143" i="18"/>
  <c r="K145" i="18"/>
  <c r="P124" i="18"/>
  <c r="M122" i="18"/>
  <c r="P122" i="18" s="1"/>
  <c r="M121" i="18"/>
  <c r="P121" i="18" s="1"/>
  <c r="K98" i="18"/>
  <c r="J86" i="18"/>
  <c r="K86" i="18" s="1"/>
  <c r="I76" i="18"/>
  <c r="N469" i="18"/>
  <c r="N467" i="18" s="1"/>
  <c r="L36" i="18"/>
  <c r="O36" i="18" s="1"/>
  <c r="L33" i="18"/>
  <c r="L31" i="18" s="1"/>
  <c r="L421" i="18"/>
  <c r="L391" i="18"/>
  <c r="L317" i="18"/>
  <c r="N300" i="18"/>
  <c r="N298" i="18" s="1"/>
  <c r="O150" i="18"/>
  <c r="O93" i="18"/>
  <c r="L91" i="18"/>
  <c r="O58" i="18"/>
  <c r="P58" i="18"/>
  <c r="N56" i="18"/>
  <c r="M472" i="18"/>
  <c r="L429" i="18"/>
  <c r="O429" i="18" s="1"/>
  <c r="L422" i="18"/>
  <c r="N347" i="18"/>
  <c r="M300" i="18"/>
  <c r="N279" i="18"/>
  <c r="L229" i="18"/>
  <c r="L238" i="18"/>
  <c r="P157" i="18"/>
  <c r="M155" i="18"/>
  <c r="P155" i="18" s="1"/>
  <c r="O69" i="18"/>
  <c r="N55" i="18"/>
  <c r="N53" i="18" s="1"/>
  <c r="M34" i="18"/>
  <c r="P34" i="18" s="1"/>
  <c r="P29" i="18"/>
  <c r="I260" i="18"/>
  <c r="K260" i="18" s="1"/>
  <c r="K271" i="18"/>
  <c r="P154" i="18"/>
  <c r="M152" i="18"/>
  <c r="M151" i="18"/>
  <c r="M26" i="18"/>
  <c r="N23" i="18"/>
  <c r="O35" i="18"/>
  <c r="N9" i="18"/>
  <c r="P189" i="18"/>
  <c r="P186" i="18"/>
  <c r="O182" i="18"/>
  <c r="P173" i="18"/>
  <c r="P170" i="18"/>
  <c r="O166" i="18"/>
  <c r="K159" i="18"/>
  <c r="K144" i="18"/>
  <c r="O137" i="18"/>
  <c r="K116" i="18"/>
  <c r="P71" i="18"/>
  <c r="P49" i="18"/>
  <c r="P46" i="18"/>
  <c r="L23" i="18"/>
  <c r="L21" i="18" s="1"/>
  <c r="N19" i="18"/>
  <c r="K244" i="18"/>
  <c r="I237" i="18"/>
  <c r="O186" i="18"/>
  <c r="O170" i="18"/>
  <c r="N134" i="18"/>
  <c r="N132" i="18" s="1"/>
  <c r="O89" i="18"/>
  <c r="O71" i="18"/>
  <c r="L55" i="18"/>
  <c r="O49" i="18"/>
  <c r="O46" i="18"/>
  <c r="N26" i="18"/>
  <c r="M19" i="18"/>
  <c r="M12" i="18"/>
  <c r="K224" i="18"/>
  <c r="K204" i="18"/>
  <c r="N183" i="18"/>
  <c r="N181" i="18" s="1"/>
  <c r="N167" i="18"/>
  <c r="N165" i="18" s="1"/>
  <c r="M134" i="18"/>
  <c r="P134" i="18" s="1"/>
  <c r="N68" i="18"/>
  <c r="N43" i="18"/>
  <c r="N41" i="18" s="1"/>
  <c r="M167" i="18"/>
  <c r="O154" i="18"/>
  <c r="N44" i="18"/>
  <c r="N29" i="18"/>
  <c r="P32" i="18"/>
  <c r="P25" i="18"/>
  <c r="K699" i="16"/>
  <c r="K360" i="15"/>
  <c r="K821" i="16"/>
  <c r="K823" i="16"/>
  <c r="L138" i="16"/>
  <c r="O138" i="16" s="1"/>
  <c r="K822" i="15"/>
  <c r="M424" i="16"/>
  <c r="M422" i="16" s="1"/>
  <c r="P422" i="16" s="1"/>
  <c r="P282" i="16"/>
  <c r="L43" i="15"/>
  <c r="L41" i="15" s="1"/>
  <c r="K111" i="16"/>
  <c r="P91" i="14"/>
  <c r="K701" i="16"/>
  <c r="K460" i="16"/>
  <c r="P168" i="16"/>
  <c r="L90" i="16"/>
  <c r="L88" i="16" s="1"/>
  <c r="J722" i="16"/>
  <c r="K722" i="16" s="1"/>
  <c r="O456" i="16"/>
  <c r="K193" i="16"/>
  <c r="P184" i="16"/>
  <c r="L546" i="16"/>
  <c r="O546" i="16" s="1"/>
  <c r="L446" i="16"/>
  <c r="O446" i="16" s="1"/>
  <c r="L304" i="16"/>
  <c r="O304" i="16" s="1"/>
  <c r="O124" i="16"/>
  <c r="O397" i="16"/>
  <c r="O186" i="16"/>
  <c r="L229" i="16"/>
  <c r="I559" i="16"/>
  <c r="K559" i="16" s="1"/>
  <c r="L267" i="16"/>
  <c r="O267" i="16" s="1"/>
  <c r="K379" i="16"/>
  <c r="K379" i="15"/>
  <c r="O641" i="16"/>
  <c r="O410" i="16"/>
  <c r="O173" i="16"/>
  <c r="K537" i="15"/>
  <c r="K466" i="16"/>
  <c r="K462" i="16"/>
  <c r="K100" i="16"/>
  <c r="K720" i="16"/>
  <c r="O479" i="16"/>
  <c r="L391" i="16"/>
  <c r="O391" i="16" s="1"/>
  <c r="P306" i="16"/>
  <c r="K255" i="16"/>
  <c r="K244" i="16"/>
  <c r="K215" i="16"/>
  <c r="M187" i="16"/>
  <c r="P187" i="16" s="1"/>
  <c r="K176" i="16"/>
  <c r="L155" i="16"/>
  <c r="O155" i="16" s="1"/>
  <c r="P127" i="16"/>
  <c r="I112" i="16"/>
  <c r="K112" i="16" s="1"/>
  <c r="K826" i="16"/>
  <c r="K723" i="16"/>
  <c r="J722" i="13"/>
  <c r="K722" i="13" s="1"/>
  <c r="K827" i="15"/>
  <c r="K824" i="15"/>
  <c r="K821" i="15"/>
  <c r="L786" i="15"/>
  <c r="O786" i="15" s="1"/>
  <c r="K825" i="16"/>
  <c r="N347" i="16"/>
  <c r="N345" i="16" s="1"/>
  <c r="P348" i="16"/>
  <c r="M317" i="16"/>
  <c r="P317" i="16" s="1"/>
  <c r="L209" i="16"/>
  <c r="O209" i="16" s="1"/>
  <c r="L151" i="16"/>
  <c r="L149" i="16" s="1"/>
  <c r="N55" i="16"/>
  <c r="N53" i="16" s="1"/>
  <c r="O348" i="16"/>
  <c r="L317" i="16"/>
  <c r="O184" i="16"/>
  <c r="L134" i="16"/>
  <c r="O134" i="16" s="1"/>
  <c r="K725" i="16"/>
  <c r="K647" i="16"/>
  <c r="K374" i="16"/>
  <c r="K362" i="16"/>
  <c r="K359" i="16"/>
  <c r="L300" i="16"/>
  <c r="L298" i="16" s="1"/>
  <c r="O280" i="16"/>
  <c r="P266" i="16"/>
  <c r="K827" i="16"/>
  <c r="K822" i="16"/>
  <c r="M754" i="16"/>
  <c r="P754" i="16" s="1"/>
  <c r="K700" i="16"/>
  <c r="M655" i="16"/>
  <c r="P655" i="16" s="1"/>
  <c r="L632" i="16"/>
  <c r="O632" i="16" s="1"/>
  <c r="J594" i="16"/>
  <c r="O549" i="16"/>
  <c r="L547" i="16"/>
  <c r="M523" i="16"/>
  <c r="P523" i="16" s="1"/>
  <c r="N391" i="16"/>
  <c r="N389" i="16" s="1"/>
  <c r="L392" i="16"/>
  <c r="O392" i="16" s="1"/>
  <c r="K355" i="16"/>
  <c r="L318" i="16"/>
  <c r="O318" i="16" s="1"/>
  <c r="O303" i="16"/>
  <c r="P285" i="16"/>
  <c r="L263" i="16"/>
  <c r="L261" i="16" s="1"/>
  <c r="I233" i="16"/>
  <c r="K233" i="16" s="1"/>
  <c r="N227" i="16"/>
  <c r="M183" i="16"/>
  <c r="M181" i="16" s="1"/>
  <c r="I143" i="16"/>
  <c r="I131" i="16" s="1"/>
  <c r="K131" i="16" s="1"/>
  <c r="P124" i="16"/>
  <c r="M94" i="16"/>
  <c r="P94" i="16" s="1"/>
  <c r="N68" i="16"/>
  <c r="N66" i="16" s="1"/>
  <c r="N15" i="16"/>
  <c r="N808" i="16"/>
  <c r="J721" i="16"/>
  <c r="K721" i="16" s="1"/>
  <c r="M690" i="16"/>
  <c r="M687" i="16" s="1"/>
  <c r="M685" i="16" s="1"/>
  <c r="K675" i="16"/>
  <c r="K669" i="16"/>
  <c r="L657" i="16"/>
  <c r="O657" i="16" s="1"/>
  <c r="I654" i="16"/>
  <c r="K654" i="16" s="1"/>
  <c r="M549" i="16"/>
  <c r="M547" i="16" s="1"/>
  <c r="O528" i="16"/>
  <c r="N330" i="16"/>
  <c r="N328" i="16" s="1"/>
  <c r="P331" i="16"/>
  <c r="N300" i="16"/>
  <c r="N298" i="16" s="1"/>
  <c r="O301" i="16"/>
  <c r="L231" i="16"/>
  <c r="L152" i="16"/>
  <c r="K146" i="16"/>
  <c r="N805" i="16"/>
  <c r="O791" i="16"/>
  <c r="O739" i="16"/>
  <c r="P333" i="16"/>
  <c r="O331" i="16"/>
  <c r="N317" i="16"/>
  <c r="N315" i="16" s="1"/>
  <c r="L238" i="16"/>
  <c r="O238" i="16" s="1"/>
  <c r="N134" i="16"/>
  <c r="N132" i="16" s="1"/>
  <c r="L135" i="16"/>
  <c r="O135" i="16" s="1"/>
  <c r="M90" i="16"/>
  <c r="M88" i="16" s="1"/>
  <c r="L68" i="16"/>
  <c r="O68" i="16" s="1"/>
  <c r="L55" i="16"/>
  <c r="L53" i="16" s="1"/>
  <c r="L43" i="16"/>
  <c r="L41" i="16" s="1"/>
  <c r="J722" i="15"/>
  <c r="M629" i="15"/>
  <c r="L789" i="16"/>
  <c r="O789" i="16" s="1"/>
  <c r="L786" i="16"/>
  <c r="O786" i="16" s="1"/>
  <c r="L688" i="16"/>
  <c r="O688" i="16" s="1"/>
  <c r="K673" i="16"/>
  <c r="N525" i="16"/>
  <c r="I314" i="16"/>
  <c r="K314" i="16" s="1"/>
  <c r="I297" i="16"/>
  <c r="K297" i="16" s="1"/>
  <c r="J288" i="16"/>
  <c r="J275" i="16" s="1"/>
  <c r="K275" i="16" s="1"/>
  <c r="L249" i="16"/>
  <c r="O249" i="16" s="1"/>
  <c r="M171" i="16"/>
  <c r="P171" i="16" s="1"/>
  <c r="M786" i="16"/>
  <c r="P786" i="16" s="1"/>
  <c r="K649" i="16"/>
  <c r="J327" i="16"/>
  <c r="K327" i="16" s="1"/>
  <c r="L228" i="16"/>
  <c r="O127" i="16"/>
  <c r="L121" i="16"/>
  <c r="I76" i="16"/>
  <c r="I64" i="16" s="1"/>
  <c r="K64" i="16" s="1"/>
  <c r="I143" i="14"/>
  <c r="K143" i="14" s="1"/>
  <c r="K338" i="15"/>
  <c r="N772" i="16"/>
  <c r="N770" i="16" s="1"/>
  <c r="N547" i="16"/>
  <c r="N444" i="16"/>
  <c r="I433" i="16"/>
  <c r="K433" i="16" s="1"/>
  <c r="M404" i="16"/>
  <c r="P404" i="16" s="1"/>
  <c r="M405" i="16"/>
  <c r="P405" i="16" s="1"/>
  <c r="O394" i="16"/>
  <c r="K381" i="16"/>
  <c r="K369" i="16"/>
  <c r="K360" i="16"/>
  <c r="P353" i="16"/>
  <c r="O320" i="16"/>
  <c r="K276" i="16"/>
  <c r="P269" i="16"/>
  <c r="L230" i="16"/>
  <c r="K190" i="16"/>
  <c r="L183" i="16"/>
  <c r="L181" i="16" s="1"/>
  <c r="M167" i="16"/>
  <c r="M165" i="16" s="1"/>
  <c r="N167" i="16"/>
  <c r="N165" i="16" s="1"/>
  <c r="P157" i="16"/>
  <c r="J143" i="16"/>
  <c r="J131" i="16" s="1"/>
  <c r="L56" i="16"/>
  <c r="L47" i="16"/>
  <c r="O47" i="16" s="1"/>
  <c r="L44" i="16"/>
  <c r="I216" i="16"/>
  <c r="K216" i="16" s="1"/>
  <c r="K224" i="16"/>
  <c r="K385" i="15"/>
  <c r="K381" i="15"/>
  <c r="K828" i="16"/>
  <c r="M631" i="16"/>
  <c r="P631" i="16" s="1"/>
  <c r="M632" i="16"/>
  <c r="P632" i="16" s="1"/>
  <c r="N631" i="16"/>
  <c r="N629" i="16" s="1"/>
  <c r="K592" i="16"/>
  <c r="L533" i="16"/>
  <c r="O533" i="16" s="1"/>
  <c r="O535" i="16"/>
  <c r="N504" i="16"/>
  <c r="N505" i="16"/>
  <c r="O472" i="16"/>
  <c r="L470" i="16"/>
  <c r="O470" i="16" s="1"/>
  <c r="M469" i="16"/>
  <c r="P469" i="16" s="1"/>
  <c r="O403" i="16"/>
  <c r="N351" i="16"/>
  <c r="O351" i="16" s="1"/>
  <c r="N264" i="16"/>
  <c r="O264" i="16" s="1"/>
  <c r="O266" i="16"/>
  <c r="L168" i="16"/>
  <c r="O168" i="16" s="1"/>
  <c r="L167" i="16"/>
  <c r="P120" i="16"/>
  <c r="K98" i="16"/>
  <c r="J86" i="16"/>
  <c r="K159" i="15"/>
  <c r="P806" i="16"/>
  <c r="N739" i="16"/>
  <c r="N737" i="16" s="1"/>
  <c r="O690" i="16"/>
  <c r="K651" i="16"/>
  <c r="L555" i="16"/>
  <c r="O555" i="16" s="1"/>
  <c r="O557" i="16"/>
  <c r="L469" i="16"/>
  <c r="O469" i="16" s="1"/>
  <c r="L36" i="16"/>
  <c r="O36" i="16" s="1"/>
  <c r="L429" i="16"/>
  <c r="O429" i="16" s="1"/>
  <c r="O431" i="16"/>
  <c r="N33" i="16"/>
  <c r="N422" i="16"/>
  <c r="O422" i="16" s="1"/>
  <c r="N419" i="16"/>
  <c r="L405" i="16"/>
  <c r="O405" i="16" s="1"/>
  <c r="L404" i="16"/>
  <c r="O404" i="16" s="1"/>
  <c r="N404" i="16"/>
  <c r="N402" i="16" s="1"/>
  <c r="M392" i="16"/>
  <c r="P392" i="16" s="1"/>
  <c r="M391" i="16"/>
  <c r="P391" i="16" s="1"/>
  <c r="J365" i="16"/>
  <c r="J364" i="16" s="1"/>
  <c r="K372" i="16"/>
  <c r="I364" i="16"/>
  <c r="L330" i="16"/>
  <c r="O333" i="16"/>
  <c r="M330" i="16"/>
  <c r="P323" i="16"/>
  <c r="M321" i="16"/>
  <c r="P321" i="16" s="1"/>
  <c r="O299" i="16"/>
  <c r="N263" i="16"/>
  <c r="N261" i="16" s="1"/>
  <c r="I226" i="16"/>
  <c r="K226" i="16" s="1"/>
  <c r="K237" i="16"/>
  <c r="L198" i="16"/>
  <c r="O198" i="16" s="1"/>
  <c r="N183" i="16"/>
  <c r="N26" i="16"/>
  <c r="L12" i="16"/>
  <c r="L19" i="16"/>
  <c r="O22" i="16"/>
  <c r="L122" i="14"/>
  <c r="O122" i="14" s="1"/>
  <c r="O353" i="15"/>
  <c r="O806" i="16"/>
  <c r="K800" i="16"/>
  <c r="P771" i="16"/>
  <c r="O756" i="16"/>
  <c r="N687" i="16"/>
  <c r="L658" i="16"/>
  <c r="O658" i="16" s="1"/>
  <c r="K594" i="16"/>
  <c r="P524" i="16"/>
  <c r="L447" i="16"/>
  <c r="O447" i="16" s="1"/>
  <c r="O449" i="16"/>
  <c r="O424" i="16"/>
  <c r="P390" i="16"/>
  <c r="O353" i="16"/>
  <c r="O336" i="16"/>
  <c r="N279" i="16"/>
  <c r="N277" i="16" s="1"/>
  <c r="K86" i="16"/>
  <c r="I77" i="16"/>
  <c r="M301" i="16"/>
  <c r="P301" i="16" s="1"/>
  <c r="M300" i="16"/>
  <c r="P303" i="16"/>
  <c r="K99" i="13"/>
  <c r="N788" i="16"/>
  <c r="N786" i="16" s="1"/>
  <c r="N756" i="16"/>
  <c r="N754" i="16" s="1"/>
  <c r="K628" i="16"/>
  <c r="O545" i="16"/>
  <c r="K538" i="16"/>
  <c r="J537" i="16"/>
  <c r="J522" i="16" s="1"/>
  <c r="N523" i="16"/>
  <c r="I522" i="16"/>
  <c r="K522" i="16" s="1"/>
  <c r="P472" i="16"/>
  <c r="M444" i="16"/>
  <c r="P444" i="16" s="1"/>
  <c r="P410" i="16"/>
  <c r="M408" i="16"/>
  <c r="P408" i="16" s="1"/>
  <c r="M395" i="16"/>
  <c r="P395" i="16" s="1"/>
  <c r="P397" i="16"/>
  <c r="M347" i="16"/>
  <c r="P350" i="16"/>
  <c r="M23" i="16"/>
  <c r="O170" i="16"/>
  <c r="K824" i="16"/>
  <c r="P634" i="16"/>
  <c r="K593" i="16"/>
  <c r="L525" i="16"/>
  <c r="O525" i="16" s="1"/>
  <c r="N502" i="16"/>
  <c r="O350" i="16"/>
  <c r="L347" i="16"/>
  <c r="K287" i="16"/>
  <c r="N658" i="16"/>
  <c r="L631" i="16"/>
  <c r="K225" i="16"/>
  <c r="K204" i="16"/>
  <c r="I197" i="16"/>
  <c r="K197" i="16" s="1"/>
  <c r="L187" i="16"/>
  <c r="O187" i="16" s="1"/>
  <c r="O189" i="16"/>
  <c r="O154" i="16"/>
  <c r="N152" i="16"/>
  <c r="P154" i="16"/>
  <c r="N151" i="16"/>
  <c r="N149" i="16" s="1"/>
  <c r="M9" i="16"/>
  <c r="P12" i="16"/>
  <c r="K674" i="16"/>
  <c r="O656" i="16"/>
  <c r="O634" i="16"/>
  <c r="O503" i="16"/>
  <c r="P468" i="16"/>
  <c r="I434" i="16"/>
  <c r="M334" i="16"/>
  <c r="P334" i="16" s="1"/>
  <c r="O329" i="16"/>
  <c r="L279" i="16"/>
  <c r="O282" i="16"/>
  <c r="M138" i="16"/>
  <c r="P138" i="16" s="1"/>
  <c r="P140" i="16"/>
  <c r="P91" i="16"/>
  <c r="O15" i="16"/>
  <c r="K465" i="16"/>
  <c r="K338" i="16"/>
  <c r="P320" i="16"/>
  <c r="M318" i="16"/>
  <c r="P318" i="16" s="1"/>
  <c r="L283" i="16"/>
  <c r="O283" i="16" s="1"/>
  <c r="N122" i="16"/>
  <c r="N121" i="16"/>
  <c r="N119" i="16" s="1"/>
  <c r="N23" i="16"/>
  <c r="N21" i="16" s="1"/>
  <c r="M34" i="16"/>
  <c r="P34" i="16" s="1"/>
  <c r="P36" i="16"/>
  <c r="O29" i="16"/>
  <c r="L33" i="16"/>
  <c r="L31" i="16" s="1"/>
  <c r="L421" i="16"/>
  <c r="I260" i="16"/>
  <c r="K260" i="16" s="1"/>
  <c r="L217" i="16"/>
  <c r="O217" i="16" s="1"/>
  <c r="P150" i="16"/>
  <c r="O133" i="16"/>
  <c r="L26" i="16"/>
  <c r="P54" i="16"/>
  <c r="O96" i="16"/>
  <c r="L94" i="16"/>
  <c r="O94" i="16" s="1"/>
  <c r="O93" i="16"/>
  <c r="L91" i="16"/>
  <c r="O91" i="16" s="1"/>
  <c r="O61" i="16"/>
  <c r="P61" i="16"/>
  <c r="N59" i="16"/>
  <c r="O59" i="16" s="1"/>
  <c r="P15" i="16"/>
  <c r="M279" i="16"/>
  <c r="M280" i="16"/>
  <c r="P280" i="16" s="1"/>
  <c r="K174" i="16"/>
  <c r="I164" i="16"/>
  <c r="K164" i="16" s="1"/>
  <c r="I148" i="16"/>
  <c r="K148" i="16" s="1"/>
  <c r="K159" i="16"/>
  <c r="M135" i="16"/>
  <c r="P135" i="16" s="1"/>
  <c r="P137" i="16"/>
  <c r="M134" i="16"/>
  <c r="P134" i="16" s="1"/>
  <c r="O58" i="16"/>
  <c r="P58" i="16"/>
  <c r="N56" i="16"/>
  <c r="O35" i="16"/>
  <c r="M263" i="16"/>
  <c r="M151" i="16"/>
  <c r="M121" i="16"/>
  <c r="P121" i="16" s="1"/>
  <c r="P89" i="16"/>
  <c r="I87" i="16"/>
  <c r="K87" i="16" s="1"/>
  <c r="P74" i="16"/>
  <c r="P71" i="16"/>
  <c r="O67" i="16"/>
  <c r="M55" i="16"/>
  <c r="P49" i="16"/>
  <c r="P46" i="16"/>
  <c r="O42" i="16"/>
  <c r="L23" i="16"/>
  <c r="L21" i="16" s="1"/>
  <c r="N19" i="16"/>
  <c r="N12" i="16"/>
  <c r="P186" i="16"/>
  <c r="P170" i="16"/>
  <c r="K144" i="16"/>
  <c r="O137" i="16"/>
  <c r="P93" i="16"/>
  <c r="O74" i="16"/>
  <c r="O71" i="16"/>
  <c r="O46" i="16"/>
  <c r="P35" i="16"/>
  <c r="P22" i="16"/>
  <c r="M19" i="16"/>
  <c r="K115" i="16"/>
  <c r="K79" i="16"/>
  <c r="N43" i="16"/>
  <c r="N34" i="16"/>
  <c r="M26" i="16"/>
  <c r="M24" i="16" s="1"/>
  <c r="N90" i="16"/>
  <c r="N88" i="16" s="1"/>
  <c r="M68" i="16"/>
  <c r="P68" i="16" s="1"/>
  <c r="N44" i="16"/>
  <c r="M43" i="16"/>
  <c r="P43" i="16" s="1"/>
  <c r="N29" i="16"/>
  <c r="M29" i="16"/>
  <c r="M404" i="15"/>
  <c r="P404" i="15" s="1"/>
  <c r="P127" i="15"/>
  <c r="L469" i="15"/>
  <c r="O469" i="15" s="1"/>
  <c r="P410" i="15"/>
  <c r="O285" i="15"/>
  <c r="O282" i="15"/>
  <c r="L228" i="15"/>
  <c r="P157" i="15"/>
  <c r="L408" i="11"/>
  <c r="O408" i="11" s="1"/>
  <c r="M395" i="15"/>
  <c r="P395" i="15" s="1"/>
  <c r="L334" i="15"/>
  <c r="O334" i="15" s="1"/>
  <c r="M347" i="15"/>
  <c r="M345" i="15" s="1"/>
  <c r="L408" i="15"/>
  <c r="O408" i="15" s="1"/>
  <c r="K362" i="15"/>
  <c r="K359" i="15"/>
  <c r="M330" i="15"/>
  <c r="M328" i="15" s="1"/>
  <c r="L231" i="15"/>
  <c r="P61" i="15"/>
  <c r="M263" i="14"/>
  <c r="M261" i="14" s="1"/>
  <c r="O331" i="15"/>
  <c r="K224" i="15"/>
  <c r="O140" i="15"/>
  <c r="L187" i="15"/>
  <c r="O187" i="15" s="1"/>
  <c r="K823" i="15"/>
  <c r="K649" i="15"/>
  <c r="O557" i="15"/>
  <c r="L525" i="15"/>
  <c r="L523" i="15" s="1"/>
  <c r="O523" i="15" s="1"/>
  <c r="L404" i="15"/>
  <c r="L402" i="15" s="1"/>
  <c r="O402" i="15" s="1"/>
  <c r="K378" i="15"/>
  <c r="K355" i="15"/>
  <c r="J327" i="15"/>
  <c r="K327" i="15" s="1"/>
  <c r="P336" i="15"/>
  <c r="L230" i="15"/>
  <c r="P170" i="15"/>
  <c r="N68" i="15"/>
  <c r="N66" i="15" s="1"/>
  <c r="L55" i="15"/>
  <c r="L53" i="15" s="1"/>
  <c r="N43" i="15"/>
  <c r="N41" i="15" s="1"/>
  <c r="K340" i="14"/>
  <c r="L546" i="15"/>
  <c r="L544" i="15" s="1"/>
  <c r="O544" i="15" s="1"/>
  <c r="I443" i="15"/>
  <c r="K443" i="15" s="1"/>
  <c r="K340" i="15"/>
  <c r="I76" i="15"/>
  <c r="I64" i="15" s="1"/>
  <c r="K64" i="15" s="1"/>
  <c r="P336" i="14"/>
  <c r="P806" i="15"/>
  <c r="O787" i="15"/>
  <c r="M754" i="15"/>
  <c r="P754" i="15" s="1"/>
  <c r="M685" i="15"/>
  <c r="P685" i="15" s="1"/>
  <c r="M632" i="15"/>
  <c r="P632" i="15" s="1"/>
  <c r="O535" i="15"/>
  <c r="O479" i="15"/>
  <c r="P407" i="15"/>
  <c r="M405" i="15"/>
  <c r="P405" i="15" s="1"/>
  <c r="N391" i="15"/>
  <c r="N389" i="15" s="1"/>
  <c r="K372" i="15"/>
  <c r="K369" i="15"/>
  <c r="P333" i="15"/>
  <c r="M331" i="15"/>
  <c r="P331" i="15" s="1"/>
  <c r="N279" i="15"/>
  <c r="N277" i="15" s="1"/>
  <c r="K271" i="15"/>
  <c r="O264" i="15"/>
  <c r="K236" i="15"/>
  <c r="I190" i="15"/>
  <c r="K190" i="15" s="1"/>
  <c r="O168" i="15"/>
  <c r="N121" i="15"/>
  <c r="N119" i="15" s="1"/>
  <c r="I86" i="15"/>
  <c r="K86" i="15" s="1"/>
  <c r="N55" i="15"/>
  <c r="N53" i="15" s="1"/>
  <c r="O49" i="15"/>
  <c r="N12" i="15"/>
  <c r="L15" i="15"/>
  <c r="L447" i="11"/>
  <c r="O447" i="11" s="1"/>
  <c r="M34" i="15"/>
  <c r="P34" i="15" s="1"/>
  <c r="K244" i="13"/>
  <c r="O791" i="15"/>
  <c r="N770" i="15"/>
  <c r="J721" i="15"/>
  <c r="P656" i="15"/>
  <c r="O634" i="15"/>
  <c r="J593" i="15"/>
  <c r="O528" i="15"/>
  <c r="L526" i="15"/>
  <c r="O526" i="15" s="1"/>
  <c r="P504" i="15"/>
  <c r="K460" i="15"/>
  <c r="K435" i="15"/>
  <c r="L405" i="15"/>
  <c r="O405" i="15" s="1"/>
  <c r="L391" i="15"/>
  <c r="O391" i="15" s="1"/>
  <c r="K374" i="15"/>
  <c r="P323" i="15"/>
  <c r="M300" i="15"/>
  <c r="M298" i="15" s="1"/>
  <c r="P303" i="15"/>
  <c r="L217" i="15"/>
  <c r="O217" i="15" s="1"/>
  <c r="L198" i="15"/>
  <c r="O198" i="15" s="1"/>
  <c r="L68" i="15"/>
  <c r="O68" i="15" s="1"/>
  <c r="P56" i="15"/>
  <c r="P46" i="15"/>
  <c r="K244" i="14"/>
  <c r="L789" i="15"/>
  <c r="O789" i="15" s="1"/>
  <c r="L754" i="15"/>
  <c r="O754" i="15" s="1"/>
  <c r="N739" i="15"/>
  <c r="N737" i="15" s="1"/>
  <c r="K651" i="15"/>
  <c r="O472" i="15"/>
  <c r="N470" i="15"/>
  <c r="K465" i="15"/>
  <c r="O269" i="15"/>
  <c r="N183" i="15"/>
  <c r="N181" i="15" s="1"/>
  <c r="O157" i="15"/>
  <c r="P140" i="15"/>
  <c r="L94" i="15"/>
  <c r="O94" i="15" s="1"/>
  <c r="O74" i="15"/>
  <c r="O46" i="15"/>
  <c r="N44" i="15"/>
  <c r="L29" i="15"/>
  <c r="L805" i="15"/>
  <c r="O805" i="15" s="1"/>
  <c r="L502" i="15"/>
  <c r="O502" i="15" s="1"/>
  <c r="L470" i="15"/>
  <c r="O470" i="15" s="1"/>
  <c r="K365" i="15"/>
  <c r="K260" i="15"/>
  <c r="L209" i="15"/>
  <c r="O209" i="15" s="1"/>
  <c r="M43" i="15"/>
  <c r="M41" i="15" s="1"/>
  <c r="J364" i="15"/>
  <c r="O189" i="14"/>
  <c r="K594" i="15"/>
  <c r="M549" i="15"/>
  <c r="P549" i="15" s="1"/>
  <c r="M472" i="15"/>
  <c r="P472" i="15" s="1"/>
  <c r="N444" i="15"/>
  <c r="J433" i="15"/>
  <c r="J417" i="15" s="1"/>
  <c r="I364" i="15"/>
  <c r="L347" i="15"/>
  <c r="L345" i="15" s="1"/>
  <c r="K309" i="15"/>
  <c r="O301" i="15"/>
  <c r="L279" i="15"/>
  <c r="I276" i="15"/>
  <c r="K276" i="15" s="1"/>
  <c r="K197" i="15"/>
  <c r="I174" i="15"/>
  <c r="I164" i="15" s="1"/>
  <c r="K164" i="15" s="1"/>
  <c r="L171" i="15"/>
  <c r="O171" i="15" s="1"/>
  <c r="N151" i="15"/>
  <c r="N149" i="15" s="1"/>
  <c r="M151" i="15"/>
  <c r="M149" i="15" s="1"/>
  <c r="P149" i="15" s="1"/>
  <c r="N134" i="15"/>
  <c r="N132" i="15" s="1"/>
  <c r="M134" i="15"/>
  <c r="M132" i="15" s="1"/>
  <c r="P132" i="15" s="1"/>
  <c r="K100" i="15"/>
  <c r="K78" i="15"/>
  <c r="O71" i="15"/>
  <c r="N69" i="15"/>
  <c r="N19" i="15"/>
  <c r="L12" i="15"/>
  <c r="J592" i="15"/>
  <c r="K592" i="15" s="1"/>
  <c r="K593" i="15"/>
  <c r="N544" i="15"/>
  <c r="I417" i="15"/>
  <c r="M391" i="15"/>
  <c r="P391" i="15" s="1"/>
  <c r="P394" i="15"/>
  <c r="K725" i="12"/>
  <c r="I434" i="14"/>
  <c r="I418" i="14" s="1"/>
  <c r="K418" i="14" s="1"/>
  <c r="N404" i="14"/>
  <c r="N402" i="14" s="1"/>
  <c r="L217" i="14"/>
  <c r="O217" i="14" s="1"/>
  <c r="K828" i="15"/>
  <c r="M737" i="15"/>
  <c r="P737" i="15" s="1"/>
  <c r="L687" i="15"/>
  <c r="O687" i="15" s="1"/>
  <c r="O690" i="15"/>
  <c r="K674" i="15"/>
  <c r="O660" i="15"/>
  <c r="N658" i="15"/>
  <c r="L657" i="15"/>
  <c r="O657" i="15" s="1"/>
  <c r="L632" i="15"/>
  <c r="O632" i="15" s="1"/>
  <c r="J537" i="15"/>
  <c r="J522" i="15" s="1"/>
  <c r="M392" i="15"/>
  <c r="P392" i="15" s="1"/>
  <c r="K669" i="15"/>
  <c r="K673" i="15"/>
  <c r="L36" i="15"/>
  <c r="L429" i="15"/>
  <c r="O429" i="15" s="1"/>
  <c r="K372" i="14"/>
  <c r="J288" i="14"/>
  <c r="J275" i="14" s="1"/>
  <c r="O806" i="15"/>
  <c r="K800" i="15"/>
  <c r="O756" i="15"/>
  <c r="N687" i="15"/>
  <c r="N685" i="15" s="1"/>
  <c r="O656" i="15"/>
  <c r="L639" i="15"/>
  <c r="O639" i="15" s="1"/>
  <c r="K576" i="15"/>
  <c r="M545" i="15"/>
  <c r="L33" i="15"/>
  <c r="O424" i="15"/>
  <c r="L422" i="15"/>
  <c r="O422" i="15" s="1"/>
  <c r="L421" i="15"/>
  <c r="L419" i="15" s="1"/>
  <c r="O394" i="15"/>
  <c r="L392" i="15"/>
  <c r="O392" i="15" s="1"/>
  <c r="O320" i="15"/>
  <c r="L317" i="15"/>
  <c r="O317" i="15" s="1"/>
  <c r="K288" i="15"/>
  <c r="J288" i="15"/>
  <c r="J275" i="15" s="1"/>
  <c r="N547" i="15"/>
  <c r="P424" i="15"/>
  <c r="P353" i="15"/>
  <c r="N351" i="15"/>
  <c r="K821" i="14"/>
  <c r="K576" i="14"/>
  <c r="P184" i="14"/>
  <c r="O170" i="14"/>
  <c r="N788" i="15"/>
  <c r="N786" i="15" s="1"/>
  <c r="N756" i="15"/>
  <c r="N754" i="15" s="1"/>
  <c r="K647" i="15"/>
  <c r="P634" i="15"/>
  <c r="N631" i="15"/>
  <c r="P631" i="15" s="1"/>
  <c r="J628" i="15"/>
  <c r="K628" i="15" s="1"/>
  <c r="O549" i="15"/>
  <c r="L547" i="15"/>
  <c r="O547" i="15" s="1"/>
  <c r="L454" i="15"/>
  <c r="O454" i="15" s="1"/>
  <c r="I434" i="15"/>
  <c r="N347" i="15"/>
  <c r="O350" i="15"/>
  <c r="N348" i="15"/>
  <c r="O348" i="15" s="1"/>
  <c r="P299" i="15"/>
  <c r="I143" i="15"/>
  <c r="K145" i="15"/>
  <c r="J143" i="15"/>
  <c r="J131" i="15" s="1"/>
  <c r="N23" i="15"/>
  <c r="N21" i="15" s="1"/>
  <c r="N90" i="15"/>
  <c r="N88" i="15" s="1"/>
  <c r="N91" i="15"/>
  <c r="O91" i="15" s="1"/>
  <c r="K672" i="15"/>
  <c r="O397" i="15"/>
  <c r="L395" i="15"/>
  <c r="O395" i="15" s="1"/>
  <c r="M317" i="15"/>
  <c r="P317" i="15" s="1"/>
  <c r="P320" i="15"/>
  <c r="K466" i="14"/>
  <c r="L318" i="14"/>
  <c r="O318" i="14" s="1"/>
  <c r="O282" i="14"/>
  <c r="O772" i="15"/>
  <c r="P686" i="15"/>
  <c r="K675" i="15"/>
  <c r="L631" i="15"/>
  <c r="I543" i="15"/>
  <c r="K543" i="15" s="1"/>
  <c r="K559" i="15"/>
  <c r="N504" i="15"/>
  <c r="N502" i="15" s="1"/>
  <c r="M348" i="15"/>
  <c r="P350" i="15"/>
  <c r="P301" i="15"/>
  <c r="P269" i="15"/>
  <c r="M267" i="15"/>
  <c r="P267" i="15" s="1"/>
  <c r="M184" i="15"/>
  <c r="P186" i="15"/>
  <c r="M183" i="15"/>
  <c r="M94" i="15"/>
  <c r="P94" i="15" s="1"/>
  <c r="P96" i="15"/>
  <c r="M90" i="15"/>
  <c r="M88" i="15" s="1"/>
  <c r="M72" i="15"/>
  <c r="P72" i="15" s="1"/>
  <c r="P74" i="15"/>
  <c r="M421" i="15"/>
  <c r="M171" i="15"/>
  <c r="P171" i="15" s="1"/>
  <c r="P173" i="15"/>
  <c r="M167" i="15"/>
  <c r="M165" i="15" s="1"/>
  <c r="M449" i="15"/>
  <c r="O449" i="15"/>
  <c r="L446" i="15"/>
  <c r="O446" i="15" s="1"/>
  <c r="O420" i="15"/>
  <c r="M318" i="15"/>
  <c r="P318" i="15" s="1"/>
  <c r="L304" i="15"/>
  <c r="O304" i="15" s="1"/>
  <c r="O306" i="15"/>
  <c r="P124" i="15"/>
  <c r="M121" i="15"/>
  <c r="M122" i="15"/>
  <c r="P122" i="15" s="1"/>
  <c r="O89" i="15"/>
  <c r="L229" i="15"/>
  <c r="J226" i="15"/>
  <c r="J180" i="15" s="1"/>
  <c r="N184" i="15"/>
  <c r="O184" i="15" s="1"/>
  <c r="I130" i="15"/>
  <c r="K130" i="15" s="1"/>
  <c r="K146" i="15"/>
  <c r="L135" i="15"/>
  <c r="O135" i="15" s="1"/>
  <c r="L134" i="15"/>
  <c r="O134" i="15" s="1"/>
  <c r="O137" i="15"/>
  <c r="N26" i="15"/>
  <c r="N16" i="15" s="1"/>
  <c r="L23" i="15"/>
  <c r="O445" i="15"/>
  <c r="P420" i="15"/>
  <c r="O407" i="15"/>
  <c r="O390" i="15"/>
  <c r="K370" i="15"/>
  <c r="O346" i="15"/>
  <c r="O333" i="15"/>
  <c r="N330" i="15"/>
  <c r="P306" i="15"/>
  <c r="O303" i="15"/>
  <c r="N300" i="15"/>
  <c r="P282" i="15"/>
  <c r="L263" i="15"/>
  <c r="L261" i="15" s="1"/>
  <c r="K216" i="15"/>
  <c r="K204" i="15"/>
  <c r="P154" i="15"/>
  <c r="L151" i="15"/>
  <c r="O151" i="15" s="1"/>
  <c r="O127" i="15"/>
  <c r="M91" i="15"/>
  <c r="P93" i="15"/>
  <c r="O29" i="15"/>
  <c r="L9" i="15"/>
  <c r="O12" i="15"/>
  <c r="N404" i="15"/>
  <c r="N402" i="15" s="1"/>
  <c r="L330" i="15"/>
  <c r="L321" i="15"/>
  <c r="O321" i="15" s="1"/>
  <c r="N317" i="15"/>
  <c r="N315" i="15" s="1"/>
  <c r="P285" i="15"/>
  <c r="O266" i="15"/>
  <c r="I248" i="15"/>
  <c r="K248" i="15" s="1"/>
  <c r="K255" i="15"/>
  <c r="I237" i="15"/>
  <c r="K244" i="15"/>
  <c r="I233" i="15"/>
  <c r="K233" i="15" s="1"/>
  <c r="P168" i="15"/>
  <c r="O154" i="15"/>
  <c r="P137" i="15"/>
  <c r="O133" i="15"/>
  <c r="O120" i="15"/>
  <c r="I87" i="15"/>
  <c r="K87" i="15" s="1"/>
  <c r="K99" i="15"/>
  <c r="O15" i="15"/>
  <c r="K325" i="15"/>
  <c r="L300" i="15"/>
  <c r="M279" i="15"/>
  <c r="N263" i="15"/>
  <c r="N261" i="15" s="1"/>
  <c r="N227" i="15"/>
  <c r="J164" i="15"/>
  <c r="N167" i="15"/>
  <c r="N165" i="15" s="1"/>
  <c r="M69" i="15"/>
  <c r="P69" i="15" s="1"/>
  <c r="M68" i="15"/>
  <c r="N33" i="15"/>
  <c r="N30" i="15" s="1"/>
  <c r="N421" i="15"/>
  <c r="N419" i="15" s="1"/>
  <c r="M263" i="15"/>
  <c r="P266" i="15"/>
  <c r="M264" i="15"/>
  <c r="P264" i="15" s="1"/>
  <c r="I208" i="15"/>
  <c r="K208" i="15" s="1"/>
  <c r="M187" i="15"/>
  <c r="P187" i="15" s="1"/>
  <c r="P189" i="15"/>
  <c r="I112" i="15"/>
  <c r="K112" i="15" s="1"/>
  <c r="N94" i="15"/>
  <c r="O61" i="15"/>
  <c r="L26" i="15"/>
  <c r="L59" i="15"/>
  <c r="O59" i="15" s="1"/>
  <c r="M55" i="15"/>
  <c r="P58" i="15"/>
  <c r="L249" i="15"/>
  <c r="O249" i="15" s="1"/>
  <c r="L238" i="15"/>
  <c r="O186" i="15"/>
  <c r="O170" i="15"/>
  <c r="O124" i="15"/>
  <c r="L121" i="15"/>
  <c r="O121" i="15" s="1"/>
  <c r="K111" i="15"/>
  <c r="M44" i="15"/>
  <c r="M23" i="15"/>
  <c r="N29" i="15"/>
  <c r="N28" i="15" s="1"/>
  <c r="N31" i="15"/>
  <c r="N15" i="15"/>
  <c r="O93" i="15"/>
  <c r="I77" i="15"/>
  <c r="K79" i="15"/>
  <c r="O58" i="15"/>
  <c r="L56" i="15"/>
  <c r="O56" i="15" s="1"/>
  <c r="M47" i="15"/>
  <c r="P47" i="15" s="1"/>
  <c r="M26" i="15"/>
  <c r="M29" i="15"/>
  <c r="P32" i="15"/>
  <c r="M12" i="15"/>
  <c r="P15" i="15"/>
  <c r="L183" i="15"/>
  <c r="L167" i="15"/>
  <c r="L90" i="15"/>
  <c r="L69" i="15"/>
  <c r="O69" i="15" s="1"/>
  <c r="L44" i="15"/>
  <c r="O32" i="15"/>
  <c r="M19" i="15"/>
  <c r="O22" i="15"/>
  <c r="L19" i="15"/>
  <c r="P25" i="15"/>
  <c r="K828" i="14"/>
  <c r="K822" i="14"/>
  <c r="K728" i="14"/>
  <c r="M660" i="14"/>
  <c r="P660" i="14" s="1"/>
  <c r="P348" i="14"/>
  <c r="O306" i="14"/>
  <c r="L469" i="14"/>
  <c r="L467" i="14" s="1"/>
  <c r="L198" i="14"/>
  <c r="O198" i="14" s="1"/>
  <c r="K378" i="14"/>
  <c r="I364" i="14"/>
  <c r="L231" i="14"/>
  <c r="K204" i="14"/>
  <c r="I77" i="14"/>
  <c r="I65" i="14" s="1"/>
  <c r="K65" i="14" s="1"/>
  <c r="O557" i="13"/>
  <c r="K825" i="14"/>
  <c r="K725" i="14"/>
  <c r="O456" i="14"/>
  <c r="J327" i="14"/>
  <c r="K327" i="14" s="1"/>
  <c r="L330" i="14"/>
  <c r="L328" i="14" s="1"/>
  <c r="K255" i="14"/>
  <c r="L134" i="14"/>
  <c r="O134" i="14" s="1"/>
  <c r="L90" i="14"/>
  <c r="L88" i="14" s="1"/>
  <c r="L55" i="14"/>
  <c r="L53" i="14" s="1"/>
  <c r="O285" i="12"/>
  <c r="K385" i="14"/>
  <c r="K381" i="14"/>
  <c r="L347" i="14"/>
  <c r="L345" i="14" s="1"/>
  <c r="P168" i="14"/>
  <c r="I148" i="14"/>
  <c r="K148" i="14" s="1"/>
  <c r="P140" i="14"/>
  <c r="O127" i="14"/>
  <c r="P96" i="13"/>
  <c r="K824" i="14"/>
  <c r="K723" i="14"/>
  <c r="I522" i="14"/>
  <c r="K522" i="14" s="1"/>
  <c r="P353" i="14"/>
  <c r="P333" i="14"/>
  <c r="K215" i="14"/>
  <c r="L167" i="14"/>
  <c r="L165" i="14" s="1"/>
  <c r="K146" i="14"/>
  <c r="L138" i="14"/>
  <c r="O138" i="14" s="1"/>
  <c r="L94" i="14"/>
  <c r="O94" i="14" s="1"/>
  <c r="P74" i="14"/>
  <c r="K338" i="13"/>
  <c r="K826" i="14"/>
  <c r="K823" i="14"/>
  <c r="O557" i="14"/>
  <c r="K465" i="14"/>
  <c r="L300" i="14"/>
  <c r="O300" i="14" s="1"/>
  <c r="K176" i="14"/>
  <c r="O93" i="14"/>
  <c r="K374" i="14"/>
  <c r="P350" i="14"/>
  <c r="P71" i="14"/>
  <c r="K827" i="14"/>
  <c r="N807" i="14"/>
  <c r="L805" i="14"/>
  <c r="O805" i="14" s="1"/>
  <c r="O791" i="14"/>
  <c r="L770" i="14"/>
  <c r="O770" i="14" s="1"/>
  <c r="P755" i="14"/>
  <c r="N737" i="14"/>
  <c r="J721" i="14"/>
  <c r="K721" i="14" s="1"/>
  <c r="O641" i="14"/>
  <c r="J594" i="14"/>
  <c r="N547" i="14"/>
  <c r="O504" i="14"/>
  <c r="L477" i="14"/>
  <c r="O477" i="14" s="1"/>
  <c r="K462" i="14"/>
  <c r="O394" i="14"/>
  <c r="K379" i="14"/>
  <c r="K369" i="14"/>
  <c r="K360" i="14"/>
  <c r="M347" i="14"/>
  <c r="M345" i="14" s="1"/>
  <c r="K338" i="14"/>
  <c r="M330" i="14"/>
  <c r="M328" i="14" s="1"/>
  <c r="P306" i="14"/>
  <c r="N300" i="14"/>
  <c r="N298" i="14" s="1"/>
  <c r="N301" i="14"/>
  <c r="N279" i="14"/>
  <c r="N277" i="14" s="1"/>
  <c r="L283" i="14"/>
  <c r="O283" i="14" s="1"/>
  <c r="N263" i="14"/>
  <c r="N261" i="14" s="1"/>
  <c r="L267" i="14"/>
  <c r="O267" i="14" s="1"/>
  <c r="L230" i="14"/>
  <c r="M171" i="14"/>
  <c r="P171" i="14" s="1"/>
  <c r="N134" i="14"/>
  <c r="N132" i="14" s="1"/>
  <c r="L121" i="14"/>
  <c r="O121" i="14" s="1"/>
  <c r="M94" i="14"/>
  <c r="P94" i="14" s="1"/>
  <c r="K79" i="14"/>
  <c r="I76" i="14"/>
  <c r="K76" i="14" s="1"/>
  <c r="L68" i="14"/>
  <c r="O68" i="14" s="1"/>
  <c r="M55" i="14"/>
  <c r="O35" i="14"/>
  <c r="M770" i="14"/>
  <c r="P770" i="14" s="1"/>
  <c r="P739" i="14"/>
  <c r="M523" i="14"/>
  <c r="P523" i="14" s="1"/>
  <c r="M502" i="14"/>
  <c r="P502" i="14" s="1"/>
  <c r="M408" i="14"/>
  <c r="P408" i="14" s="1"/>
  <c r="N405" i="14"/>
  <c r="K355" i="14"/>
  <c r="L321" i="14"/>
  <c r="O321" i="14" s="1"/>
  <c r="L301" i="14"/>
  <c r="O301" i="14" s="1"/>
  <c r="K288" i="14"/>
  <c r="O266" i="14"/>
  <c r="L249" i="14"/>
  <c r="O249" i="14" s="1"/>
  <c r="L238" i="14"/>
  <c r="O238" i="14" s="1"/>
  <c r="K224" i="14"/>
  <c r="I364" i="13"/>
  <c r="K364" i="13" s="1"/>
  <c r="N788" i="14"/>
  <c r="J722" i="14"/>
  <c r="K722" i="14" s="1"/>
  <c r="M549" i="14"/>
  <c r="M546" i="14" s="1"/>
  <c r="M544" i="14" s="1"/>
  <c r="L525" i="14"/>
  <c r="O525" i="14" s="1"/>
  <c r="N525" i="14"/>
  <c r="N523" i="14" s="1"/>
  <c r="L228" i="14"/>
  <c r="M187" i="14"/>
  <c r="P187" i="14" s="1"/>
  <c r="L43" i="14"/>
  <c r="L41" i="14" s="1"/>
  <c r="N9" i="14"/>
  <c r="N805" i="14"/>
  <c r="M404" i="14"/>
  <c r="M402" i="14" s="1"/>
  <c r="P402" i="14" s="1"/>
  <c r="K362" i="14"/>
  <c r="K359" i="14"/>
  <c r="O351" i="14"/>
  <c r="M280" i="14"/>
  <c r="P280" i="14" s="1"/>
  <c r="L263" i="14"/>
  <c r="L261" i="14" s="1"/>
  <c r="M26" i="14"/>
  <c r="M24" i="14" s="1"/>
  <c r="M12" i="14"/>
  <c r="K827" i="13"/>
  <c r="K824" i="13"/>
  <c r="K821" i="13"/>
  <c r="L525" i="13"/>
  <c r="O525" i="13" s="1"/>
  <c r="M805" i="14"/>
  <c r="P805" i="14" s="1"/>
  <c r="N786" i="14"/>
  <c r="K700" i="14"/>
  <c r="K675" i="14"/>
  <c r="P524" i="14"/>
  <c r="L404" i="14"/>
  <c r="O404" i="14" s="1"/>
  <c r="P303" i="14"/>
  <c r="L279" i="14"/>
  <c r="O279" i="14" s="1"/>
  <c r="L209" i="14"/>
  <c r="O209" i="14" s="1"/>
  <c r="M183" i="14"/>
  <c r="M181" i="14" s="1"/>
  <c r="M167" i="14"/>
  <c r="M165" i="14" s="1"/>
  <c r="L155" i="14"/>
  <c r="O155" i="14" s="1"/>
  <c r="N121" i="14"/>
  <c r="N119" i="14" s="1"/>
  <c r="M90" i="14"/>
  <c r="M88" i="14" s="1"/>
  <c r="N68" i="14"/>
  <c r="N66" i="14" s="1"/>
  <c r="N34" i="14"/>
  <c r="K800" i="14"/>
  <c r="M786" i="14"/>
  <c r="P786" i="14" s="1"/>
  <c r="O738" i="14"/>
  <c r="K726" i="14"/>
  <c r="N658" i="14"/>
  <c r="K651" i="14"/>
  <c r="J593" i="14"/>
  <c r="L470" i="14"/>
  <c r="O397" i="14"/>
  <c r="O353" i="14"/>
  <c r="L348" i="14"/>
  <c r="O348" i="14" s="1"/>
  <c r="N330" i="14"/>
  <c r="P331" i="14"/>
  <c r="O303" i="14"/>
  <c r="P285" i="14"/>
  <c r="J164" i="14"/>
  <c r="O168" i="14"/>
  <c r="N151" i="14"/>
  <c r="N149" i="14" s="1"/>
  <c r="P137" i="14"/>
  <c r="L135" i="14"/>
  <c r="O135" i="14" s="1"/>
  <c r="I112" i="14"/>
  <c r="K112" i="14" s="1"/>
  <c r="O91" i="14"/>
  <c r="L56" i="14"/>
  <c r="L47" i="14"/>
  <c r="O47" i="14" s="1"/>
  <c r="L44" i="14"/>
  <c r="M15" i="14"/>
  <c r="M9" i="14" s="1"/>
  <c r="K594" i="14"/>
  <c r="N470" i="14"/>
  <c r="N469" i="14"/>
  <c r="N467" i="14" s="1"/>
  <c r="O688" i="14"/>
  <c r="J592" i="14"/>
  <c r="K592" i="14" s="1"/>
  <c r="K593" i="14"/>
  <c r="I543" i="14"/>
  <c r="K543" i="14" s="1"/>
  <c r="K559" i="14"/>
  <c r="N544" i="14"/>
  <c r="N33" i="14"/>
  <c r="O424" i="14"/>
  <c r="P120" i="14"/>
  <c r="K385" i="12"/>
  <c r="J433" i="13"/>
  <c r="J417" i="13" s="1"/>
  <c r="K385" i="13"/>
  <c r="M263" i="13"/>
  <c r="M261" i="13" s="1"/>
  <c r="N772" i="14"/>
  <c r="N770" i="14" s="1"/>
  <c r="N756" i="14"/>
  <c r="N754" i="14" s="1"/>
  <c r="N687" i="14"/>
  <c r="N685" i="14" s="1"/>
  <c r="L657" i="14"/>
  <c r="O657" i="14" s="1"/>
  <c r="O634" i="14"/>
  <c r="N631" i="14"/>
  <c r="N629" i="14" s="1"/>
  <c r="L546" i="14"/>
  <c r="O546" i="14" s="1"/>
  <c r="L533" i="14"/>
  <c r="O533" i="14" s="1"/>
  <c r="N504" i="14"/>
  <c r="N502" i="14" s="1"/>
  <c r="O449" i="14"/>
  <c r="L447" i="14"/>
  <c r="O447" i="14" s="1"/>
  <c r="L446" i="14"/>
  <c r="O446" i="14" s="1"/>
  <c r="P424" i="14"/>
  <c r="M422" i="14"/>
  <c r="N421" i="14"/>
  <c r="N419" i="14" s="1"/>
  <c r="N47" i="14"/>
  <c r="N26" i="14"/>
  <c r="M34" i="14"/>
  <c r="P34" i="14" s="1"/>
  <c r="P36" i="14"/>
  <c r="K365" i="12"/>
  <c r="O285" i="13"/>
  <c r="L788" i="14"/>
  <c r="O690" i="14"/>
  <c r="K674" i="14"/>
  <c r="L658" i="14"/>
  <c r="O658" i="14" s="1"/>
  <c r="P656" i="14"/>
  <c r="I654" i="14"/>
  <c r="K654" i="14" s="1"/>
  <c r="L547" i="14"/>
  <c r="O547" i="14" s="1"/>
  <c r="P545" i="14"/>
  <c r="J537" i="14"/>
  <c r="J522" i="14" s="1"/>
  <c r="O472" i="14"/>
  <c r="N444" i="14"/>
  <c r="K438" i="14"/>
  <c r="M421" i="14"/>
  <c r="M419" i="14" s="1"/>
  <c r="O410" i="14"/>
  <c r="L408" i="14"/>
  <c r="O408" i="14" s="1"/>
  <c r="N391" i="14"/>
  <c r="N389" i="14" s="1"/>
  <c r="K370" i="14"/>
  <c r="J143" i="14"/>
  <c r="J131" i="14" s="1"/>
  <c r="K144" i="14"/>
  <c r="K675" i="12"/>
  <c r="P806" i="14"/>
  <c r="P787" i="14"/>
  <c r="L687" i="14"/>
  <c r="K673" i="14"/>
  <c r="K669" i="14"/>
  <c r="O656" i="14"/>
  <c r="L631" i="14"/>
  <c r="O545" i="14"/>
  <c r="O528" i="14"/>
  <c r="M444" i="14"/>
  <c r="P444" i="14" s="1"/>
  <c r="O407" i="14"/>
  <c r="L405" i="14"/>
  <c r="O405" i="14" s="1"/>
  <c r="J364" i="14"/>
  <c r="K365" i="14"/>
  <c r="O336" i="14"/>
  <c r="L334" i="14"/>
  <c r="O334" i="14" s="1"/>
  <c r="I276" i="14"/>
  <c r="K276" i="14" s="1"/>
  <c r="K287" i="14"/>
  <c r="L229" i="14"/>
  <c r="I190" i="14"/>
  <c r="K190" i="14" s="1"/>
  <c r="K193" i="14"/>
  <c r="P15" i="14"/>
  <c r="N422" i="14"/>
  <c r="P316" i="14"/>
  <c r="L184" i="14"/>
  <c r="O184" i="14" s="1"/>
  <c r="O186" i="14"/>
  <c r="L183" i="14"/>
  <c r="M690" i="14"/>
  <c r="M472" i="14"/>
  <c r="N447" i="14"/>
  <c r="O445" i="14"/>
  <c r="P420" i="14"/>
  <c r="P390" i="14"/>
  <c r="N317" i="14"/>
  <c r="N315" i="14" s="1"/>
  <c r="P157" i="14"/>
  <c r="M155" i="14"/>
  <c r="P155" i="14" s="1"/>
  <c r="O15" i="14"/>
  <c r="O479" i="13"/>
  <c r="K176" i="13"/>
  <c r="K100" i="13"/>
  <c r="P351" i="14"/>
  <c r="O333" i="14"/>
  <c r="L331" i="14"/>
  <c r="O331" i="14" s="1"/>
  <c r="O61" i="14"/>
  <c r="P61" i="14"/>
  <c r="N59" i="14"/>
  <c r="P59" i="14" s="1"/>
  <c r="L12" i="14"/>
  <c r="L29" i="14"/>
  <c r="O32" i="14"/>
  <c r="M391" i="14"/>
  <c r="P391" i="14" s="1"/>
  <c r="M317" i="14"/>
  <c r="P317" i="14" s="1"/>
  <c r="N267" i="14"/>
  <c r="N152" i="14"/>
  <c r="O152" i="14" s="1"/>
  <c r="P124" i="14"/>
  <c r="M122" i="14"/>
  <c r="P122" i="14" s="1"/>
  <c r="K99" i="14"/>
  <c r="N23" i="14"/>
  <c r="N44" i="14"/>
  <c r="P44" i="14" s="1"/>
  <c r="P12" i="14"/>
  <c r="L19" i="14"/>
  <c r="P445" i="14"/>
  <c r="L36" i="14"/>
  <c r="O36" i="14" s="1"/>
  <c r="L33" i="14"/>
  <c r="L31" i="14" s="1"/>
  <c r="L421" i="14"/>
  <c r="P407" i="14"/>
  <c r="O403" i="14"/>
  <c r="M395" i="14"/>
  <c r="P395" i="14" s="1"/>
  <c r="M392" i="14"/>
  <c r="P392" i="14" s="1"/>
  <c r="L391" i="14"/>
  <c r="O350" i="14"/>
  <c r="K325" i="14"/>
  <c r="M321" i="14"/>
  <c r="P321" i="14" s="1"/>
  <c r="M318" i="14"/>
  <c r="P318" i="14" s="1"/>
  <c r="L317" i="14"/>
  <c r="P269" i="14"/>
  <c r="M267" i="14"/>
  <c r="P267" i="14" s="1"/>
  <c r="I233" i="14"/>
  <c r="K233" i="14" s="1"/>
  <c r="P154" i="14"/>
  <c r="M152" i="14"/>
  <c r="K87" i="14"/>
  <c r="O58" i="14"/>
  <c r="P58" i="14"/>
  <c r="N56" i="14"/>
  <c r="N43" i="14"/>
  <c r="N41" i="14" s="1"/>
  <c r="K460" i="14"/>
  <c r="L429" i="14"/>
  <c r="O429" i="14" s="1"/>
  <c r="L422" i="14"/>
  <c r="O422" i="14" s="1"/>
  <c r="N347" i="14"/>
  <c r="N345" i="14" s="1"/>
  <c r="M300" i="14"/>
  <c r="N264" i="14"/>
  <c r="O264" i="14" s="1"/>
  <c r="I260" i="14"/>
  <c r="K260" i="14" s="1"/>
  <c r="I164" i="14"/>
  <c r="K164" i="14" s="1"/>
  <c r="O154" i="14"/>
  <c r="M121" i="14"/>
  <c r="P121" i="14" s="1"/>
  <c r="K98" i="14"/>
  <c r="I86" i="14"/>
  <c r="K86" i="14" s="1"/>
  <c r="P29" i="14"/>
  <c r="K435" i="14"/>
  <c r="J433" i="14"/>
  <c r="J417" i="14" s="1"/>
  <c r="K417" i="14" s="1"/>
  <c r="K309" i="14"/>
  <c r="N283" i="14"/>
  <c r="P266" i="14"/>
  <c r="M264" i="14"/>
  <c r="I226" i="14"/>
  <c r="K226" i="14" s="1"/>
  <c r="O173" i="14"/>
  <c r="M151" i="14"/>
  <c r="P127" i="14"/>
  <c r="M125" i="14"/>
  <c r="P125" i="14" s="1"/>
  <c r="O96" i="14"/>
  <c r="N55" i="14"/>
  <c r="N53" i="14" s="1"/>
  <c r="O25" i="14"/>
  <c r="M23" i="14"/>
  <c r="P150" i="14"/>
  <c r="L26" i="14"/>
  <c r="P49" i="14"/>
  <c r="P46" i="14"/>
  <c r="L23" i="14"/>
  <c r="L21" i="14" s="1"/>
  <c r="N19" i="14"/>
  <c r="M279" i="14"/>
  <c r="P186" i="14"/>
  <c r="O182" i="14"/>
  <c r="P170" i="14"/>
  <c r="L151" i="14"/>
  <c r="O137" i="14"/>
  <c r="P93" i="14"/>
  <c r="O74" i="14"/>
  <c r="O71" i="14"/>
  <c r="O46" i="14"/>
  <c r="P35" i="14"/>
  <c r="P22" i="14"/>
  <c r="M19" i="14"/>
  <c r="N183" i="14"/>
  <c r="N167" i="14"/>
  <c r="N165" i="14" s="1"/>
  <c r="M134" i="14"/>
  <c r="P134" i="14" s="1"/>
  <c r="N90" i="14"/>
  <c r="N88" i="14" s="1"/>
  <c r="M68" i="14"/>
  <c r="P68" i="14" s="1"/>
  <c r="M43" i="14"/>
  <c r="N29" i="14"/>
  <c r="M660" i="13"/>
  <c r="M658" i="13" s="1"/>
  <c r="P658" i="13" s="1"/>
  <c r="I434" i="13"/>
  <c r="I418" i="13" s="1"/>
  <c r="K418" i="13" s="1"/>
  <c r="O350" i="13"/>
  <c r="K271" i="13"/>
  <c r="K672" i="12"/>
  <c r="I785" i="13"/>
  <c r="K785" i="13" s="1"/>
  <c r="K723" i="13"/>
  <c r="M347" i="13"/>
  <c r="M345" i="13" s="1"/>
  <c r="N279" i="13"/>
  <c r="N277" i="13" s="1"/>
  <c r="J143" i="13"/>
  <c r="J131" i="13" s="1"/>
  <c r="O549" i="13"/>
  <c r="K700" i="13"/>
  <c r="M549" i="13"/>
  <c r="M546" i="13" s="1"/>
  <c r="P546" i="13" s="1"/>
  <c r="I442" i="13"/>
  <c r="K442" i="13" s="1"/>
  <c r="O189" i="13"/>
  <c r="O127" i="13"/>
  <c r="K649" i="11"/>
  <c r="K822" i="11"/>
  <c r="K825" i="11"/>
  <c r="K828" i="11"/>
  <c r="K720" i="13"/>
  <c r="K675" i="13"/>
  <c r="I654" i="13"/>
  <c r="K654" i="13" s="1"/>
  <c r="K594" i="13"/>
  <c r="K437" i="13"/>
  <c r="M391" i="13"/>
  <c r="K325" i="13"/>
  <c r="P303" i="13"/>
  <c r="O186" i="13"/>
  <c r="L151" i="13"/>
  <c r="L149" i="13" s="1"/>
  <c r="K674" i="13"/>
  <c r="L658" i="13"/>
  <c r="O658" i="13" s="1"/>
  <c r="L546" i="13"/>
  <c r="L544" i="13" s="1"/>
  <c r="O544" i="13" s="1"/>
  <c r="P350" i="13"/>
  <c r="M300" i="13"/>
  <c r="M298" i="13" s="1"/>
  <c r="N121" i="13"/>
  <c r="N119" i="13" s="1"/>
  <c r="I112" i="13"/>
  <c r="K112" i="13" s="1"/>
  <c r="M90" i="13"/>
  <c r="M88" i="13" s="1"/>
  <c r="N90" i="11"/>
  <c r="N88" i="11" s="1"/>
  <c r="M155" i="11"/>
  <c r="P155" i="11" s="1"/>
  <c r="K673" i="13"/>
  <c r="O657" i="13"/>
  <c r="P397" i="13"/>
  <c r="J327" i="13"/>
  <c r="K327" i="13" s="1"/>
  <c r="M330" i="13"/>
  <c r="O301" i="13"/>
  <c r="L279" i="13"/>
  <c r="O279" i="13" s="1"/>
  <c r="L183" i="13"/>
  <c r="L181" i="13" s="1"/>
  <c r="O173" i="13"/>
  <c r="O157" i="13"/>
  <c r="L788" i="13"/>
  <c r="O788" i="13" s="1"/>
  <c r="L121" i="13"/>
  <c r="O121" i="13" s="1"/>
  <c r="L655" i="13"/>
  <c r="L391" i="13"/>
  <c r="O391" i="13" s="1"/>
  <c r="K340" i="13"/>
  <c r="P306" i="13"/>
  <c r="M264" i="13"/>
  <c r="P264" i="13" s="1"/>
  <c r="L249" i="13"/>
  <c r="O249" i="13" s="1"/>
  <c r="M688" i="13"/>
  <c r="M687" i="13"/>
  <c r="M685" i="13" s="1"/>
  <c r="P685" i="13" s="1"/>
  <c r="O351" i="13"/>
  <c r="I364" i="12"/>
  <c r="M786" i="13"/>
  <c r="P786" i="13" s="1"/>
  <c r="K725" i="13"/>
  <c r="K708" i="13"/>
  <c r="L688" i="13"/>
  <c r="O688" i="13" s="1"/>
  <c r="O656" i="13"/>
  <c r="O528" i="13"/>
  <c r="K435" i="13"/>
  <c r="P407" i="13"/>
  <c r="M334" i="13"/>
  <c r="P334" i="13" s="1"/>
  <c r="M317" i="13"/>
  <c r="P317" i="13" s="1"/>
  <c r="M301" i="13"/>
  <c r="P301" i="13" s="1"/>
  <c r="P282" i="13"/>
  <c r="L230" i="13"/>
  <c r="L209" i="13"/>
  <c r="O209" i="13" s="1"/>
  <c r="K204" i="13"/>
  <c r="J164" i="13"/>
  <c r="L167" i="13"/>
  <c r="L165" i="13" s="1"/>
  <c r="N151" i="13"/>
  <c r="N149" i="13" s="1"/>
  <c r="L152" i="13"/>
  <c r="O152" i="13" s="1"/>
  <c r="O124" i="13"/>
  <c r="N122" i="13"/>
  <c r="I86" i="13"/>
  <c r="K86" i="13" s="1"/>
  <c r="I76" i="13"/>
  <c r="K76" i="13" s="1"/>
  <c r="O49" i="13"/>
  <c r="M15" i="13"/>
  <c r="P15" i="13" s="1"/>
  <c r="M805" i="13"/>
  <c r="P805" i="13" s="1"/>
  <c r="O690" i="13"/>
  <c r="N655" i="13"/>
  <c r="O472" i="13"/>
  <c r="N470" i="13"/>
  <c r="M392" i="13"/>
  <c r="P392" i="13" s="1"/>
  <c r="J364" i="13"/>
  <c r="O353" i="13"/>
  <c r="L347" i="13"/>
  <c r="L345" i="13" s="1"/>
  <c r="L334" i="13"/>
  <c r="O334" i="13" s="1"/>
  <c r="M331" i="13"/>
  <c r="K309" i="13"/>
  <c r="N300" i="13"/>
  <c r="N298" i="13" s="1"/>
  <c r="O282" i="13"/>
  <c r="N280" i="13"/>
  <c r="P269" i="13"/>
  <c r="L238" i="13"/>
  <c r="K146" i="13"/>
  <c r="L122" i="13"/>
  <c r="O122" i="13" s="1"/>
  <c r="L90" i="13"/>
  <c r="L88" i="13" s="1"/>
  <c r="O74" i="13"/>
  <c r="P61" i="13"/>
  <c r="J721" i="13"/>
  <c r="K721" i="13" s="1"/>
  <c r="L687" i="13"/>
  <c r="O687" i="13" s="1"/>
  <c r="L526" i="13"/>
  <c r="O526" i="13" s="1"/>
  <c r="O449" i="13"/>
  <c r="K374" i="13"/>
  <c r="L280" i="13"/>
  <c r="O280" i="13" s="1"/>
  <c r="P266" i="13"/>
  <c r="I190" i="13"/>
  <c r="K190" i="13" s="1"/>
  <c r="M29" i="13"/>
  <c r="K701" i="10"/>
  <c r="K435" i="12"/>
  <c r="K826" i="13"/>
  <c r="K823" i="13"/>
  <c r="O660" i="13"/>
  <c r="N658" i="13"/>
  <c r="I559" i="13"/>
  <c r="I543" i="13" s="1"/>
  <c r="K543" i="13" s="1"/>
  <c r="O547" i="13"/>
  <c r="N391" i="13"/>
  <c r="N389" i="13" s="1"/>
  <c r="M279" i="13"/>
  <c r="M277" i="13" s="1"/>
  <c r="P277" i="13" s="1"/>
  <c r="O266" i="13"/>
  <c r="L217" i="13"/>
  <c r="O217" i="13" s="1"/>
  <c r="L198" i="13"/>
  <c r="O198" i="13" s="1"/>
  <c r="O170" i="13"/>
  <c r="O168" i="13"/>
  <c r="M55" i="13"/>
  <c r="M53" i="13" s="1"/>
  <c r="L43" i="13"/>
  <c r="L41" i="13" s="1"/>
  <c r="L228" i="13"/>
  <c r="L68" i="13"/>
  <c r="O127" i="12"/>
  <c r="K828" i="13"/>
  <c r="K825" i="13"/>
  <c r="K822" i="13"/>
  <c r="O791" i="13"/>
  <c r="N770" i="13"/>
  <c r="N754" i="13"/>
  <c r="N737" i="13"/>
  <c r="K729" i="13"/>
  <c r="I628" i="13"/>
  <c r="K628" i="13" s="1"/>
  <c r="L469" i="13"/>
  <c r="O469" i="13" s="1"/>
  <c r="N446" i="13"/>
  <c r="I443" i="13"/>
  <c r="K443" i="13" s="1"/>
  <c r="M408" i="13"/>
  <c r="P408" i="13" s="1"/>
  <c r="O394" i="13"/>
  <c r="N347" i="13"/>
  <c r="N345" i="13" s="1"/>
  <c r="N348" i="13"/>
  <c r="P348" i="13" s="1"/>
  <c r="O303" i="13"/>
  <c r="P168" i="13"/>
  <c r="O154" i="13"/>
  <c r="P140" i="13"/>
  <c r="P137" i="13"/>
  <c r="P93" i="13"/>
  <c r="M91" i="13"/>
  <c r="P91" i="13" s="1"/>
  <c r="N34" i="13"/>
  <c r="O503" i="13"/>
  <c r="L502" i="13"/>
  <c r="O502" i="13" s="1"/>
  <c r="M629" i="13"/>
  <c r="P629" i="13" s="1"/>
  <c r="P631" i="13"/>
  <c r="K379" i="11"/>
  <c r="O791" i="12"/>
  <c r="L805" i="13"/>
  <c r="O805" i="13" s="1"/>
  <c r="N773" i="13"/>
  <c r="M770" i="13"/>
  <c r="P770" i="13" s="1"/>
  <c r="N757" i="13"/>
  <c r="M754" i="13"/>
  <c r="P754" i="13" s="1"/>
  <c r="N740" i="13"/>
  <c r="M737" i="13"/>
  <c r="P737" i="13" s="1"/>
  <c r="N688" i="13"/>
  <c r="K669" i="13"/>
  <c r="L632" i="13"/>
  <c r="O632" i="13" s="1"/>
  <c r="J537" i="13"/>
  <c r="J522" i="13" s="1"/>
  <c r="N523" i="13"/>
  <c r="M404" i="13"/>
  <c r="P404" i="13" s="1"/>
  <c r="O346" i="13"/>
  <c r="O316" i="13"/>
  <c r="L304" i="13"/>
  <c r="O304" i="13" s="1"/>
  <c r="O306" i="13"/>
  <c r="L300" i="13"/>
  <c r="N33" i="13"/>
  <c r="N422" i="13"/>
  <c r="N421" i="13"/>
  <c r="N419" i="13" s="1"/>
  <c r="O410" i="13"/>
  <c r="L408" i="13"/>
  <c r="O408" i="13" s="1"/>
  <c r="L404" i="13"/>
  <c r="L55" i="11"/>
  <c r="L53" i="11" s="1"/>
  <c r="O186" i="12"/>
  <c r="O771" i="13"/>
  <c r="L770" i="13"/>
  <c r="O770" i="13" s="1"/>
  <c r="O755" i="13"/>
  <c r="L754" i="13"/>
  <c r="O754" i="13" s="1"/>
  <c r="O738" i="13"/>
  <c r="L737" i="13"/>
  <c r="O737" i="13" s="1"/>
  <c r="P690" i="13"/>
  <c r="O686" i="13"/>
  <c r="O641" i="13"/>
  <c r="L631" i="13"/>
  <c r="O631" i="13" s="1"/>
  <c r="P545" i="13"/>
  <c r="M523" i="13"/>
  <c r="P523" i="13" s="1"/>
  <c r="P420" i="13"/>
  <c r="M351" i="13"/>
  <c r="P351" i="13" s="1"/>
  <c r="P353" i="13"/>
  <c r="N331" i="13"/>
  <c r="O331" i="13" s="1"/>
  <c r="N330" i="13"/>
  <c r="N328" i="13" s="1"/>
  <c r="P333" i="13"/>
  <c r="N317" i="13"/>
  <c r="N315" i="13" s="1"/>
  <c r="L267" i="13"/>
  <c r="O267" i="13" s="1"/>
  <c r="O269" i="13"/>
  <c r="O150" i="13"/>
  <c r="O29" i="13"/>
  <c r="K593" i="13"/>
  <c r="I592" i="13"/>
  <c r="K592" i="13" s="1"/>
  <c r="M502" i="13"/>
  <c r="P502" i="13" s="1"/>
  <c r="P504" i="13"/>
  <c r="L33" i="13"/>
  <c r="L31" i="13" s="1"/>
  <c r="L422" i="13"/>
  <c r="M424" i="13"/>
  <c r="L421" i="13"/>
  <c r="O424" i="13"/>
  <c r="M334" i="11"/>
  <c r="P334" i="11" s="1"/>
  <c r="P806" i="13"/>
  <c r="P787" i="13"/>
  <c r="N632" i="13"/>
  <c r="M467" i="13"/>
  <c r="P467" i="13" s="1"/>
  <c r="P468" i="13"/>
  <c r="I417" i="13"/>
  <c r="L395" i="13"/>
  <c r="O395" i="13" s="1"/>
  <c r="O397" i="13"/>
  <c r="K237" i="13"/>
  <c r="P157" i="13"/>
  <c r="M155" i="13"/>
  <c r="P155" i="13" s="1"/>
  <c r="O630" i="13"/>
  <c r="I522" i="13"/>
  <c r="K522" i="13" s="1"/>
  <c r="K537" i="13"/>
  <c r="O445" i="13"/>
  <c r="K215" i="13"/>
  <c r="I208" i="13"/>
  <c r="K208" i="13" s="1"/>
  <c r="I785" i="12"/>
  <c r="K785" i="12" s="1"/>
  <c r="L249" i="12"/>
  <c r="O249" i="12" s="1"/>
  <c r="N629" i="13"/>
  <c r="N505" i="13"/>
  <c r="N502" i="13"/>
  <c r="O468" i="13"/>
  <c r="L454" i="13"/>
  <c r="O454" i="13" s="1"/>
  <c r="O456" i="13"/>
  <c r="O320" i="13"/>
  <c r="L318" i="13"/>
  <c r="O318" i="13" s="1"/>
  <c r="L317" i="13"/>
  <c r="O317" i="13" s="1"/>
  <c r="P316" i="13"/>
  <c r="L533" i="13"/>
  <c r="O533" i="13" s="1"/>
  <c r="N404" i="13"/>
  <c r="N402" i="13" s="1"/>
  <c r="M318" i="13"/>
  <c r="P318" i="13" s="1"/>
  <c r="P285" i="13"/>
  <c r="L231" i="13"/>
  <c r="P184" i="13"/>
  <c r="M444" i="13"/>
  <c r="P444" i="13" s="1"/>
  <c r="O333" i="13"/>
  <c r="M321" i="13"/>
  <c r="P321" i="13" s="1"/>
  <c r="M34" i="13"/>
  <c r="P34" i="13" s="1"/>
  <c r="P36" i="13"/>
  <c r="L36" i="13"/>
  <c r="O36" i="13" s="1"/>
  <c r="L429" i="13"/>
  <c r="O429" i="13" s="1"/>
  <c r="O431" i="13"/>
  <c r="O323" i="13"/>
  <c r="L321" i="13"/>
  <c r="O321" i="13" s="1"/>
  <c r="I275" i="13"/>
  <c r="K275" i="13" s="1"/>
  <c r="J288" i="13"/>
  <c r="J275" i="13" s="1"/>
  <c r="L264" i="13"/>
  <c r="O264" i="13" s="1"/>
  <c r="L263" i="13"/>
  <c r="L261" i="13" s="1"/>
  <c r="O184" i="13"/>
  <c r="K174" i="13"/>
  <c r="I164" i="13"/>
  <c r="K164" i="13" s="1"/>
  <c r="L12" i="13"/>
  <c r="L19" i="13"/>
  <c r="O22" i="13"/>
  <c r="L446" i="13"/>
  <c r="O446" i="13" s="1"/>
  <c r="N444" i="13"/>
  <c r="O407" i="13"/>
  <c r="L405" i="13"/>
  <c r="O405" i="13" s="1"/>
  <c r="P403" i="13"/>
  <c r="L330" i="13"/>
  <c r="I276" i="13"/>
  <c r="K276" i="13" s="1"/>
  <c r="I248" i="13"/>
  <c r="K248" i="13" s="1"/>
  <c r="K255" i="13"/>
  <c r="K224" i="13"/>
  <c r="I216" i="13"/>
  <c r="K216" i="13" s="1"/>
  <c r="M187" i="13"/>
  <c r="P187" i="13" s="1"/>
  <c r="P189" i="13"/>
  <c r="M23" i="13"/>
  <c r="O69" i="13"/>
  <c r="O58" i="13"/>
  <c r="N23" i="13"/>
  <c r="N21" i="13" s="1"/>
  <c r="L15" i="13"/>
  <c r="L229" i="13"/>
  <c r="J226" i="13"/>
  <c r="J180" i="13" s="1"/>
  <c r="I143" i="13"/>
  <c r="K145" i="13"/>
  <c r="P127" i="13"/>
  <c r="M125" i="13"/>
  <c r="P125" i="13" s="1"/>
  <c r="O120" i="13"/>
  <c r="P69" i="13"/>
  <c r="P54" i="13"/>
  <c r="L26" i="13"/>
  <c r="P124" i="13"/>
  <c r="M122" i="13"/>
  <c r="P122" i="13" s="1"/>
  <c r="M121" i="13"/>
  <c r="O96" i="13"/>
  <c r="L94" i="13"/>
  <c r="O94" i="13" s="1"/>
  <c r="K81" i="13"/>
  <c r="I77" i="13"/>
  <c r="P58" i="13"/>
  <c r="N56" i="13"/>
  <c r="P56" i="13" s="1"/>
  <c r="P29" i="13"/>
  <c r="N263" i="13"/>
  <c r="I233" i="13"/>
  <c r="K233" i="13" s="1"/>
  <c r="P154" i="13"/>
  <c r="M152" i="13"/>
  <c r="P152" i="13" s="1"/>
  <c r="M151" i="13"/>
  <c r="O93" i="13"/>
  <c r="L91" i="13"/>
  <c r="O91" i="13" s="1"/>
  <c r="N55" i="13"/>
  <c r="N53" i="13" s="1"/>
  <c r="O35" i="13"/>
  <c r="P186" i="13"/>
  <c r="O182" i="13"/>
  <c r="P173" i="13"/>
  <c r="P170" i="13"/>
  <c r="O166" i="13"/>
  <c r="K159" i="13"/>
  <c r="K144" i="13"/>
  <c r="O140" i="13"/>
  <c r="O137" i="13"/>
  <c r="P74" i="13"/>
  <c r="P71" i="13"/>
  <c r="P49" i="13"/>
  <c r="P46" i="13"/>
  <c r="L23" i="13"/>
  <c r="N19" i="13"/>
  <c r="N12" i="13"/>
  <c r="N134" i="13"/>
  <c r="N132" i="13" s="1"/>
  <c r="O71" i="13"/>
  <c r="L55" i="13"/>
  <c r="O46" i="13"/>
  <c r="N26" i="13"/>
  <c r="M19" i="13"/>
  <c r="M12" i="13"/>
  <c r="N183" i="13"/>
  <c r="N167" i="13"/>
  <c r="N165" i="13" s="1"/>
  <c r="M134" i="13"/>
  <c r="P134" i="13" s="1"/>
  <c r="N68" i="13"/>
  <c r="N66" i="13" s="1"/>
  <c r="L59" i="13"/>
  <c r="O59" i="13" s="1"/>
  <c r="L56" i="13"/>
  <c r="N43" i="13"/>
  <c r="N41" i="13" s="1"/>
  <c r="M26" i="13"/>
  <c r="M183" i="13"/>
  <c r="M167" i="13"/>
  <c r="L134" i="13"/>
  <c r="N90" i="13"/>
  <c r="N88" i="13" s="1"/>
  <c r="M68" i="13"/>
  <c r="M66" i="13" s="1"/>
  <c r="N44" i="13"/>
  <c r="O44" i="13" s="1"/>
  <c r="M43" i="13"/>
  <c r="N29" i="13"/>
  <c r="P32" i="13"/>
  <c r="P25" i="13"/>
  <c r="I276" i="11"/>
  <c r="K276" i="11" s="1"/>
  <c r="I314" i="11"/>
  <c r="K314" i="11" s="1"/>
  <c r="M405" i="11"/>
  <c r="P405" i="11" s="1"/>
  <c r="J327" i="12"/>
  <c r="K327" i="12" s="1"/>
  <c r="O282" i="12"/>
  <c r="O269" i="12"/>
  <c r="P333" i="11"/>
  <c r="I174" i="12"/>
  <c r="K174" i="12" s="1"/>
  <c r="L300" i="12"/>
  <c r="L298" i="12" s="1"/>
  <c r="M263" i="12"/>
  <c r="M261" i="12" s="1"/>
  <c r="L229" i="12"/>
  <c r="O173" i="12"/>
  <c r="I190" i="11"/>
  <c r="K190" i="11" s="1"/>
  <c r="J721" i="11"/>
  <c r="L408" i="12"/>
  <c r="O408" i="12" s="1"/>
  <c r="L347" i="12"/>
  <c r="L345" i="12" s="1"/>
  <c r="K338" i="12"/>
  <c r="K379" i="12"/>
  <c r="L43" i="11"/>
  <c r="L41" i="11" s="1"/>
  <c r="N317" i="11"/>
  <c r="N315" i="11" s="1"/>
  <c r="P348" i="11"/>
  <c r="K827" i="12"/>
  <c r="K824" i="12"/>
  <c r="K821" i="12"/>
  <c r="J722" i="12"/>
  <c r="K722" i="12" s="1"/>
  <c r="M690" i="12"/>
  <c r="M688" i="12" s="1"/>
  <c r="P688" i="12" s="1"/>
  <c r="K466" i="12"/>
  <c r="L404" i="12"/>
  <c r="O404" i="12" s="1"/>
  <c r="N391" i="12"/>
  <c r="N389" i="12" s="1"/>
  <c r="M392" i="12"/>
  <c r="P392" i="12" s="1"/>
  <c r="K340" i="12"/>
  <c r="M317" i="12"/>
  <c r="P317" i="12" s="1"/>
  <c r="P282" i="12"/>
  <c r="K159" i="12"/>
  <c r="I76" i="12"/>
  <c r="K76" i="12" s="1"/>
  <c r="K338" i="11"/>
  <c r="J327" i="11"/>
  <c r="K327" i="11" s="1"/>
  <c r="L688" i="12"/>
  <c r="O688" i="12" s="1"/>
  <c r="L470" i="12"/>
  <c r="L391" i="12"/>
  <c r="O391" i="12" s="1"/>
  <c r="P306" i="12"/>
  <c r="N151" i="12"/>
  <c r="N149" i="12" s="1"/>
  <c r="O93" i="12"/>
  <c r="N55" i="12"/>
  <c r="N53" i="12" s="1"/>
  <c r="L43" i="12"/>
  <c r="L41" i="12" s="1"/>
  <c r="O58" i="11"/>
  <c r="L135" i="11"/>
  <c r="O135" i="11" s="1"/>
  <c r="N183" i="11"/>
  <c r="N181" i="11" s="1"/>
  <c r="O528" i="12"/>
  <c r="O449" i="12"/>
  <c r="P74" i="12"/>
  <c r="P59" i="11"/>
  <c r="L155" i="11"/>
  <c r="O155" i="11" s="1"/>
  <c r="N167" i="11"/>
  <c r="N165" i="11" s="1"/>
  <c r="M404" i="11"/>
  <c r="P404" i="11" s="1"/>
  <c r="K726" i="12"/>
  <c r="K673" i="12"/>
  <c r="O479" i="12"/>
  <c r="K381" i="12"/>
  <c r="K370" i="12"/>
  <c r="L209" i="12"/>
  <c r="O209" i="12" s="1"/>
  <c r="L187" i="12"/>
  <c r="O187" i="12" s="1"/>
  <c r="L184" i="12"/>
  <c r="O184" i="12" s="1"/>
  <c r="I112" i="12"/>
  <c r="K112" i="12" s="1"/>
  <c r="P49" i="12"/>
  <c r="P46" i="12"/>
  <c r="J721" i="12"/>
  <c r="K721" i="12" s="1"/>
  <c r="J669" i="12"/>
  <c r="K669" i="12" s="1"/>
  <c r="I443" i="12"/>
  <c r="K443" i="12" s="1"/>
  <c r="O351" i="12"/>
  <c r="N300" i="12"/>
  <c r="N298" i="12" s="1"/>
  <c r="M135" i="11"/>
  <c r="P135" i="11" s="1"/>
  <c r="N134" i="11"/>
  <c r="N132" i="11" s="1"/>
  <c r="K255" i="11"/>
  <c r="L526" i="11"/>
  <c r="O526" i="11" s="1"/>
  <c r="L36" i="11"/>
  <c r="O36" i="11" s="1"/>
  <c r="K828" i="12"/>
  <c r="K825" i="12"/>
  <c r="K822" i="12"/>
  <c r="L805" i="12"/>
  <c r="O805" i="12" s="1"/>
  <c r="L789" i="12"/>
  <c r="O789" i="12" s="1"/>
  <c r="P772" i="12"/>
  <c r="L754" i="12"/>
  <c r="O754" i="12" s="1"/>
  <c r="M754" i="12"/>
  <c r="P754" i="12" s="1"/>
  <c r="P739" i="12"/>
  <c r="M660" i="12"/>
  <c r="P660" i="12" s="1"/>
  <c r="L546" i="12"/>
  <c r="L544" i="12" s="1"/>
  <c r="K460" i="12"/>
  <c r="I434" i="12"/>
  <c r="K434" i="12" s="1"/>
  <c r="P407" i="12"/>
  <c r="P397" i="12"/>
  <c r="K359" i="12"/>
  <c r="O350" i="12"/>
  <c r="M330" i="12"/>
  <c r="M328" i="12" s="1"/>
  <c r="P323" i="12"/>
  <c r="M300" i="12"/>
  <c r="M298" i="12" s="1"/>
  <c r="O266" i="12"/>
  <c r="L231" i="12"/>
  <c r="L217" i="12"/>
  <c r="O217" i="12" s="1"/>
  <c r="M167" i="12"/>
  <c r="M165" i="12" s="1"/>
  <c r="P138" i="12"/>
  <c r="P135" i="12"/>
  <c r="L94" i="12"/>
  <c r="O94" i="12" s="1"/>
  <c r="L91" i="12"/>
  <c r="O91" i="12" s="1"/>
  <c r="L68" i="12"/>
  <c r="O68" i="12" s="1"/>
  <c r="M15" i="12"/>
  <c r="M9" i="12" s="1"/>
  <c r="N43" i="11"/>
  <c r="M125" i="11"/>
  <c r="P125" i="11" s="1"/>
  <c r="P170" i="11"/>
  <c r="L334" i="11"/>
  <c r="O334" i="11" s="1"/>
  <c r="L347" i="11"/>
  <c r="L345" i="11" s="1"/>
  <c r="K821" i="11"/>
  <c r="K824" i="11"/>
  <c r="K827" i="11"/>
  <c r="L36" i="12"/>
  <c r="O36" i="12" s="1"/>
  <c r="M502" i="12"/>
  <c r="P502" i="12" s="1"/>
  <c r="L469" i="12"/>
  <c r="O469" i="12" s="1"/>
  <c r="K465" i="12"/>
  <c r="L446" i="12"/>
  <c r="O446" i="12" s="1"/>
  <c r="N444" i="12"/>
  <c r="J433" i="12"/>
  <c r="J417" i="12" s="1"/>
  <c r="K378" i="12"/>
  <c r="N347" i="12"/>
  <c r="L348" i="12"/>
  <c r="O348" i="12" s="1"/>
  <c r="P320" i="12"/>
  <c r="M318" i="12"/>
  <c r="P318" i="12" s="1"/>
  <c r="L230" i="12"/>
  <c r="J226" i="12"/>
  <c r="J180" i="12" s="1"/>
  <c r="I208" i="12"/>
  <c r="K208" i="12" s="1"/>
  <c r="L198" i="12"/>
  <c r="O198" i="12" s="1"/>
  <c r="M183" i="12"/>
  <c r="M181" i="12" s="1"/>
  <c r="J164" i="12"/>
  <c r="L167" i="12"/>
  <c r="L165" i="12" s="1"/>
  <c r="O154" i="12"/>
  <c r="N152" i="12"/>
  <c r="O140" i="12"/>
  <c r="L134" i="12"/>
  <c r="L132" i="12" s="1"/>
  <c r="L55" i="12"/>
  <c r="P44" i="12"/>
  <c r="N34" i="12"/>
  <c r="M29" i="12"/>
  <c r="I275" i="11"/>
  <c r="K275" i="11" s="1"/>
  <c r="N788" i="12"/>
  <c r="N786" i="12" s="1"/>
  <c r="N523" i="12"/>
  <c r="M404" i="12"/>
  <c r="P404" i="12" s="1"/>
  <c r="K309" i="12"/>
  <c r="O264" i="12"/>
  <c r="K216" i="12"/>
  <c r="K111" i="12"/>
  <c r="M90" i="12"/>
  <c r="M88" i="12" s="1"/>
  <c r="O61" i="12"/>
  <c r="L33" i="11"/>
  <c r="O33" i="11" s="1"/>
  <c r="L421" i="11"/>
  <c r="L419" i="11" s="1"/>
  <c r="L657" i="11"/>
  <c r="L770" i="12"/>
  <c r="O770" i="12" s="1"/>
  <c r="L737" i="12"/>
  <c r="O737" i="12" s="1"/>
  <c r="K728" i="12"/>
  <c r="L533" i="12"/>
  <c r="O533" i="12" s="1"/>
  <c r="P410" i="12"/>
  <c r="P336" i="12"/>
  <c r="L228" i="12"/>
  <c r="I77" i="12"/>
  <c r="K77" i="12" s="1"/>
  <c r="P71" i="12"/>
  <c r="P333" i="10"/>
  <c r="M72" i="11"/>
  <c r="P72" i="11" s="1"/>
  <c r="K176" i="11"/>
  <c r="M279" i="11"/>
  <c r="M277" i="11" s="1"/>
  <c r="P277" i="11" s="1"/>
  <c r="M283" i="11"/>
  <c r="P283" i="11" s="1"/>
  <c r="I433" i="11"/>
  <c r="I417" i="11" s="1"/>
  <c r="M634" i="11"/>
  <c r="M632" i="11" s="1"/>
  <c r="P632" i="11" s="1"/>
  <c r="K628" i="11"/>
  <c r="K826" i="12"/>
  <c r="K823" i="12"/>
  <c r="K723" i="12"/>
  <c r="K700" i="12"/>
  <c r="O690" i="12"/>
  <c r="O660" i="12"/>
  <c r="N658" i="12"/>
  <c r="O658" i="12" s="1"/>
  <c r="O472" i="12"/>
  <c r="N470" i="12"/>
  <c r="L454" i="12"/>
  <c r="O454" i="12" s="1"/>
  <c r="M391" i="12"/>
  <c r="P391" i="12" s="1"/>
  <c r="K372" i="12"/>
  <c r="K369" i="12"/>
  <c r="K360" i="12"/>
  <c r="O353" i="12"/>
  <c r="K325" i="12"/>
  <c r="L317" i="12"/>
  <c r="L315" i="12" s="1"/>
  <c r="O315" i="12" s="1"/>
  <c r="K204" i="12"/>
  <c r="O170" i="12"/>
  <c r="P140" i="12"/>
  <c r="P137" i="12"/>
  <c r="N121" i="12"/>
  <c r="N119" i="12" s="1"/>
  <c r="K99" i="12"/>
  <c r="K78" i="12"/>
  <c r="N68" i="12"/>
  <c r="N66" i="12" s="1"/>
  <c r="O58" i="12"/>
  <c r="N56" i="12"/>
  <c r="O56" i="12" s="1"/>
  <c r="M467" i="12"/>
  <c r="P469" i="12"/>
  <c r="L786" i="12"/>
  <c r="O786" i="12" s="1"/>
  <c r="O788" i="12"/>
  <c r="N737" i="12"/>
  <c r="L56" i="11"/>
  <c r="O56" i="11" s="1"/>
  <c r="L72" i="11"/>
  <c r="O72" i="11" s="1"/>
  <c r="I86" i="11"/>
  <c r="K86" i="11" s="1"/>
  <c r="P152" i="11"/>
  <c r="K204" i="11"/>
  <c r="K365" i="11"/>
  <c r="K370" i="11"/>
  <c r="K378" i="11"/>
  <c r="K385" i="11"/>
  <c r="K460" i="11"/>
  <c r="L477" i="11"/>
  <c r="O477" i="11" s="1"/>
  <c r="M805" i="12"/>
  <c r="P805" i="12" s="1"/>
  <c r="M786" i="12"/>
  <c r="P786" i="12" s="1"/>
  <c r="K651" i="12"/>
  <c r="L639" i="12"/>
  <c r="O639" i="12" s="1"/>
  <c r="N629" i="12"/>
  <c r="K593" i="12"/>
  <c r="J592" i="12"/>
  <c r="K592" i="12" s="1"/>
  <c r="P545" i="12"/>
  <c r="K537" i="12"/>
  <c r="I522" i="12"/>
  <c r="K522" i="12" s="1"/>
  <c r="N404" i="12"/>
  <c r="N402" i="12" s="1"/>
  <c r="J355" i="12"/>
  <c r="K355" i="12" s="1"/>
  <c r="K362" i="12"/>
  <c r="P329" i="12"/>
  <c r="P127" i="12"/>
  <c r="M125" i="12"/>
  <c r="P125" i="12" s="1"/>
  <c r="M43" i="11"/>
  <c r="P46" i="11"/>
  <c r="K145" i="11"/>
  <c r="K224" i="11"/>
  <c r="L238" i="11"/>
  <c r="O238" i="11" s="1"/>
  <c r="I297" i="11"/>
  <c r="K297" i="11" s="1"/>
  <c r="L301" i="11"/>
  <c r="O301" i="11" s="1"/>
  <c r="L300" i="11"/>
  <c r="O300" i="11" s="1"/>
  <c r="O353" i="11"/>
  <c r="N772" i="12"/>
  <c r="N770" i="12" s="1"/>
  <c r="N756" i="12"/>
  <c r="N754" i="12" s="1"/>
  <c r="N739" i="12"/>
  <c r="N687" i="12"/>
  <c r="O687" i="12" s="1"/>
  <c r="L657" i="12"/>
  <c r="O657" i="12" s="1"/>
  <c r="J654" i="12"/>
  <c r="K654" i="12" s="1"/>
  <c r="O634" i="12"/>
  <c r="J537" i="12"/>
  <c r="J522" i="12" s="1"/>
  <c r="P353" i="12"/>
  <c r="M351" i="12"/>
  <c r="P351" i="12" s="1"/>
  <c r="O346" i="12"/>
  <c r="P333" i="12"/>
  <c r="N331" i="12"/>
  <c r="O331" i="12" s="1"/>
  <c r="O306" i="12"/>
  <c r="L304" i="12"/>
  <c r="O304" i="12" s="1"/>
  <c r="O303" i="12"/>
  <c r="L23" i="12"/>
  <c r="L21" i="12" s="1"/>
  <c r="L301" i="12"/>
  <c r="K576" i="12"/>
  <c r="I559" i="12"/>
  <c r="P124" i="12"/>
  <c r="M122" i="12"/>
  <c r="P122" i="12" s="1"/>
  <c r="M121" i="12"/>
  <c r="P121" i="12" s="1"/>
  <c r="M122" i="11"/>
  <c r="P122" i="11" s="1"/>
  <c r="L125" i="11"/>
  <c r="O125" i="11" s="1"/>
  <c r="O168" i="11"/>
  <c r="L230" i="11"/>
  <c r="K374" i="11"/>
  <c r="L788" i="11"/>
  <c r="O788" i="11" s="1"/>
  <c r="K823" i="11"/>
  <c r="K826" i="11"/>
  <c r="K674" i="12"/>
  <c r="N467" i="12"/>
  <c r="K442" i="12"/>
  <c r="I417" i="12"/>
  <c r="M422" i="12"/>
  <c r="P422" i="12" s="1"/>
  <c r="M421" i="12"/>
  <c r="M419" i="12" s="1"/>
  <c r="P403" i="12"/>
  <c r="N330" i="12"/>
  <c r="N328" i="12" s="1"/>
  <c r="K288" i="12"/>
  <c r="I275" i="12"/>
  <c r="K275" i="12" s="1"/>
  <c r="J288" i="12"/>
  <c r="J275" i="12" s="1"/>
  <c r="P56" i="11"/>
  <c r="K360" i="11"/>
  <c r="I522" i="11"/>
  <c r="K522" i="11" s="1"/>
  <c r="L631" i="12"/>
  <c r="M629" i="12"/>
  <c r="P629" i="12" s="1"/>
  <c r="N504" i="12"/>
  <c r="N502" i="12" s="1"/>
  <c r="N505" i="12"/>
  <c r="P350" i="12"/>
  <c r="M348" i="12"/>
  <c r="P348" i="12" s="1"/>
  <c r="M347" i="12"/>
  <c r="K193" i="12"/>
  <c r="I190" i="12"/>
  <c r="K190" i="12" s="1"/>
  <c r="P472" i="12"/>
  <c r="M470" i="12"/>
  <c r="P470" i="12" s="1"/>
  <c r="M283" i="12"/>
  <c r="P283" i="12" s="1"/>
  <c r="P285" i="12"/>
  <c r="N23" i="11"/>
  <c r="N13" i="11" s="1"/>
  <c r="O154" i="11"/>
  <c r="P524" i="12"/>
  <c r="M523" i="12"/>
  <c r="P523" i="12" s="1"/>
  <c r="L502" i="12"/>
  <c r="O502" i="12" s="1"/>
  <c r="O504" i="12"/>
  <c r="O468" i="12"/>
  <c r="L555" i="12"/>
  <c r="O555" i="12" s="1"/>
  <c r="L547" i="12"/>
  <c r="O547" i="12" s="1"/>
  <c r="O445" i="12"/>
  <c r="L429" i="12"/>
  <c r="O429" i="12" s="1"/>
  <c r="L422" i="12"/>
  <c r="O422" i="12" s="1"/>
  <c r="P420" i="12"/>
  <c r="O407" i="12"/>
  <c r="L395" i="12"/>
  <c r="O395" i="12" s="1"/>
  <c r="L392" i="12"/>
  <c r="O392" i="12" s="1"/>
  <c r="P390" i="12"/>
  <c r="O336" i="12"/>
  <c r="O333" i="12"/>
  <c r="L321" i="12"/>
  <c r="O321" i="12" s="1"/>
  <c r="L318" i="12"/>
  <c r="O318" i="12" s="1"/>
  <c r="P316" i="12"/>
  <c r="N301" i="12"/>
  <c r="P301" i="12" s="1"/>
  <c r="P278" i="12"/>
  <c r="O168" i="12"/>
  <c r="P154" i="12"/>
  <c r="M152" i="12"/>
  <c r="J143" i="12"/>
  <c r="J131" i="12" s="1"/>
  <c r="I143" i="12"/>
  <c r="K145" i="12"/>
  <c r="P61" i="12"/>
  <c r="M59" i="12"/>
  <c r="P59" i="12" s="1"/>
  <c r="O54" i="12"/>
  <c r="P555" i="12"/>
  <c r="O549" i="12"/>
  <c r="P503" i="12"/>
  <c r="O424" i="12"/>
  <c r="O394" i="12"/>
  <c r="J364" i="12"/>
  <c r="O320" i="12"/>
  <c r="P299" i="12"/>
  <c r="K287" i="12"/>
  <c r="P269" i="12"/>
  <c r="M267" i="12"/>
  <c r="P267" i="12" s="1"/>
  <c r="P266" i="12"/>
  <c r="M264" i="12"/>
  <c r="P264" i="12" s="1"/>
  <c r="O150" i="12"/>
  <c r="P58" i="12"/>
  <c r="M56" i="12"/>
  <c r="M55" i="12"/>
  <c r="N26" i="12"/>
  <c r="N16" i="12" s="1"/>
  <c r="N29" i="12"/>
  <c r="N31" i="12"/>
  <c r="N12" i="12"/>
  <c r="N546" i="12"/>
  <c r="N544" i="12" s="1"/>
  <c r="L525" i="12"/>
  <c r="M449" i="12"/>
  <c r="N33" i="12"/>
  <c r="N30" i="12" s="1"/>
  <c r="N421" i="12"/>
  <c r="N419" i="12" s="1"/>
  <c r="K374" i="12"/>
  <c r="L330" i="12"/>
  <c r="N317" i="12"/>
  <c r="N315" i="12" s="1"/>
  <c r="P303" i="12"/>
  <c r="N279" i="12"/>
  <c r="N277" i="12" s="1"/>
  <c r="I248" i="12"/>
  <c r="K255" i="12"/>
  <c r="O120" i="12"/>
  <c r="K98" i="12"/>
  <c r="I86" i="12"/>
  <c r="K86" i="12" s="1"/>
  <c r="K87" i="12"/>
  <c r="N23" i="12"/>
  <c r="N21" i="12" s="1"/>
  <c r="P29" i="12"/>
  <c r="M549" i="12"/>
  <c r="O262" i="12"/>
  <c r="L26" i="12"/>
  <c r="L24" i="12" s="1"/>
  <c r="L33" i="12"/>
  <c r="L31" i="12" s="1"/>
  <c r="O31" i="12" s="1"/>
  <c r="L421" i="12"/>
  <c r="P157" i="12"/>
  <c r="M155" i="12"/>
  <c r="P155" i="12" s="1"/>
  <c r="M151" i="12"/>
  <c r="N15" i="12"/>
  <c r="P12" i="12"/>
  <c r="N263" i="12"/>
  <c r="L238" i="12"/>
  <c r="I233" i="12"/>
  <c r="K233" i="12" s="1"/>
  <c r="M187" i="12"/>
  <c r="P187" i="12" s="1"/>
  <c r="M184" i="12"/>
  <c r="P184" i="12" s="1"/>
  <c r="L183" i="12"/>
  <c r="M171" i="12"/>
  <c r="P171" i="12" s="1"/>
  <c r="M168" i="12"/>
  <c r="P168" i="12" s="1"/>
  <c r="L138" i="12"/>
  <c r="O138" i="12" s="1"/>
  <c r="L135" i="12"/>
  <c r="O135" i="12" s="1"/>
  <c r="P133" i="12"/>
  <c r="M94" i="12"/>
  <c r="P94" i="12" s="1"/>
  <c r="M91" i="12"/>
  <c r="P91" i="12" s="1"/>
  <c r="L90" i="12"/>
  <c r="L72" i="12"/>
  <c r="O72" i="12" s="1"/>
  <c r="L69" i="12"/>
  <c r="O69" i="12" s="1"/>
  <c r="P67" i="12"/>
  <c r="L47" i="12"/>
  <c r="O47" i="12" s="1"/>
  <c r="L44" i="12"/>
  <c r="O44" i="12" s="1"/>
  <c r="O32" i="12"/>
  <c r="L29" i="12"/>
  <c r="M23" i="12"/>
  <c r="L15" i="12"/>
  <c r="M279" i="12"/>
  <c r="P279" i="12" s="1"/>
  <c r="K271" i="12"/>
  <c r="L263" i="12"/>
  <c r="L261" i="12" s="1"/>
  <c r="P186" i="12"/>
  <c r="O182" i="12"/>
  <c r="P170" i="12"/>
  <c r="L151" i="12"/>
  <c r="O151" i="12" s="1"/>
  <c r="O137" i="12"/>
  <c r="L121" i="12"/>
  <c r="O121" i="12" s="1"/>
  <c r="P93" i="12"/>
  <c r="O71" i="12"/>
  <c r="O49" i="12"/>
  <c r="O46" i="12"/>
  <c r="P22" i="12"/>
  <c r="M19" i="12"/>
  <c r="L279" i="12"/>
  <c r="P262" i="12"/>
  <c r="K244" i="12"/>
  <c r="L155" i="12"/>
  <c r="O155" i="12" s="1"/>
  <c r="N134" i="12"/>
  <c r="N132" i="12" s="1"/>
  <c r="I130" i="12"/>
  <c r="K130" i="12" s="1"/>
  <c r="L122" i="12"/>
  <c r="O122" i="12" s="1"/>
  <c r="P120" i="12"/>
  <c r="K115" i="12"/>
  <c r="K79" i="12"/>
  <c r="N43" i="12"/>
  <c r="N41" i="12" s="1"/>
  <c r="O35" i="12"/>
  <c r="M26" i="12"/>
  <c r="O22" i="12"/>
  <c r="L19" i="12"/>
  <c r="L12" i="12"/>
  <c r="K224" i="12"/>
  <c r="N183" i="12"/>
  <c r="N167" i="12"/>
  <c r="M134" i="12"/>
  <c r="N90" i="12"/>
  <c r="N88" i="12" s="1"/>
  <c r="M68" i="12"/>
  <c r="P68" i="12" s="1"/>
  <c r="M43" i="12"/>
  <c r="P43" i="12" s="1"/>
  <c r="P32" i="12"/>
  <c r="N69" i="11"/>
  <c r="P93" i="11"/>
  <c r="L330" i="11"/>
  <c r="L328" i="11" s="1"/>
  <c r="L404" i="11"/>
  <c r="M424" i="11"/>
  <c r="P424" i="11" s="1"/>
  <c r="O660" i="11"/>
  <c r="J722" i="11"/>
  <c r="L122" i="11"/>
  <c r="O122" i="11" s="1"/>
  <c r="L229" i="11"/>
  <c r="L231" i="11"/>
  <c r="L263" i="11"/>
  <c r="L261" i="11" s="1"/>
  <c r="M330" i="11"/>
  <c r="M328" i="11" s="1"/>
  <c r="N68" i="11"/>
  <c r="N66" i="11" s="1"/>
  <c r="L152" i="11"/>
  <c r="O152" i="11" s="1"/>
  <c r="L217" i="11"/>
  <c r="O217" i="11" s="1"/>
  <c r="O266" i="11"/>
  <c r="P282" i="11"/>
  <c r="N347" i="11"/>
  <c r="P350" i="11"/>
  <c r="M391" i="11"/>
  <c r="P391" i="11" s="1"/>
  <c r="J537" i="11"/>
  <c r="J522" i="11" s="1"/>
  <c r="P266" i="11"/>
  <c r="L351" i="11"/>
  <c r="O351" i="11" s="1"/>
  <c r="M392" i="11"/>
  <c r="P392" i="11" s="1"/>
  <c r="M408" i="11"/>
  <c r="P408" i="11" s="1"/>
  <c r="K651" i="11"/>
  <c r="M47" i="11"/>
  <c r="P47" i="11" s="1"/>
  <c r="L59" i="11"/>
  <c r="O59" i="11" s="1"/>
  <c r="P184" i="11"/>
  <c r="M318" i="11"/>
  <c r="P318" i="11" s="1"/>
  <c r="K340" i="11"/>
  <c r="L688" i="11"/>
  <c r="O688" i="11" s="1"/>
  <c r="M55" i="11"/>
  <c r="I77" i="11"/>
  <c r="I65" i="11" s="1"/>
  <c r="K65" i="11" s="1"/>
  <c r="I112" i="11"/>
  <c r="K112" i="11" s="1"/>
  <c r="L121" i="11"/>
  <c r="L134" i="11"/>
  <c r="O134" i="11" s="1"/>
  <c r="M138" i="11"/>
  <c r="P138" i="11" s="1"/>
  <c r="L151" i="11"/>
  <c r="O170" i="11"/>
  <c r="M187" i="11"/>
  <c r="P187" i="11" s="1"/>
  <c r="L198" i="11"/>
  <c r="O198" i="11" s="1"/>
  <c r="K215" i="11"/>
  <c r="I233" i="11"/>
  <c r="K233" i="11" s="1"/>
  <c r="L267" i="11"/>
  <c r="O267" i="11" s="1"/>
  <c r="L280" i="11"/>
  <c r="O280" i="11" s="1"/>
  <c r="O285" i="11"/>
  <c r="N55" i="11"/>
  <c r="L68" i="11"/>
  <c r="L66" i="11" s="1"/>
  <c r="O66" i="11" s="1"/>
  <c r="K81" i="11"/>
  <c r="O91" i="11"/>
  <c r="O93" i="11"/>
  <c r="M121" i="11"/>
  <c r="I130" i="11"/>
  <c r="K130" i="11" s="1"/>
  <c r="M134" i="11"/>
  <c r="P134" i="11" s="1"/>
  <c r="M151" i="11"/>
  <c r="M149" i="11" s="1"/>
  <c r="P154" i="11"/>
  <c r="K164" i="11"/>
  <c r="L209" i="11"/>
  <c r="O209" i="11" s="1"/>
  <c r="N151" i="11"/>
  <c r="I260" i="11"/>
  <c r="K260" i="11" s="1"/>
  <c r="O269" i="11"/>
  <c r="L279" i="11"/>
  <c r="K146" i="10"/>
  <c r="M183" i="11"/>
  <c r="M181" i="11" s="1"/>
  <c r="J288" i="11"/>
  <c r="J275" i="11" s="1"/>
  <c r="L138" i="11"/>
  <c r="O138" i="11" s="1"/>
  <c r="O186" i="11"/>
  <c r="O306" i="11"/>
  <c r="M331" i="11"/>
  <c r="L348" i="11"/>
  <c r="O348" i="11" s="1"/>
  <c r="O350" i="11"/>
  <c r="P394" i="11"/>
  <c r="K538" i="11"/>
  <c r="M395" i="11"/>
  <c r="P395" i="11" s="1"/>
  <c r="L405" i="11"/>
  <c r="O405" i="11" s="1"/>
  <c r="P634" i="11"/>
  <c r="M472" i="11"/>
  <c r="M549" i="11"/>
  <c r="M546" i="11" s="1"/>
  <c r="M544" i="11" s="1"/>
  <c r="L469" i="11"/>
  <c r="L467" i="11" s="1"/>
  <c r="O472" i="11"/>
  <c r="L321" i="11"/>
  <c r="O321" i="11" s="1"/>
  <c r="K369" i="11"/>
  <c r="K372" i="11"/>
  <c r="K672" i="11"/>
  <c r="N300" i="11"/>
  <c r="N298" i="11" s="1"/>
  <c r="K674" i="11"/>
  <c r="P29" i="11"/>
  <c r="O686" i="11"/>
  <c r="P738" i="11"/>
  <c r="M737" i="11"/>
  <c r="P737" i="11" s="1"/>
  <c r="P771" i="11"/>
  <c r="M770" i="11"/>
  <c r="P770" i="11" s="1"/>
  <c r="P807" i="11"/>
  <c r="M805" i="11"/>
  <c r="P805" i="11" s="1"/>
  <c r="K338" i="10"/>
  <c r="O266" i="10"/>
  <c r="L187" i="10"/>
  <c r="O187" i="10" s="1"/>
  <c r="N30" i="11"/>
  <c r="N28" i="11" s="1"/>
  <c r="N26" i="11"/>
  <c r="I87" i="11"/>
  <c r="K87" i="11" s="1"/>
  <c r="K99" i="11"/>
  <c r="O184" i="11"/>
  <c r="P403" i="11"/>
  <c r="P71" i="11"/>
  <c r="M69" i="11"/>
  <c r="P69" i="11" s="1"/>
  <c r="M23" i="11"/>
  <c r="M21" i="11" s="1"/>
  <c r="M68" i="11"/>
  <c r="P68" i="11" s="1"/>
  <c r="P788" i="11"/>
  <c r="M786" i="11"/>
  <c r="P786" i="11" s="1"/>
  <c r="I237" i="10"/>
  <c r="K237" i="10" s="1"/>
  <c r="P96" i="11"/>
  <c r="M94" i="11"/>
  <c r="P94" i="11" s="1"/>
  <c r="M26" i="11"/>
  <c r="L187" i="11"/>
  <c r="O187" i="11" s="1"/>
  <c r="O189" i="11"/>
  <c r="J355" i="11"/>
  <c r="K355" i="11" s="1"/>
  <c r="K362" i="11"/>
  <c r="P468" i="11"/>
  <c r="P173" i="11"/>
  <c r="M171" i="11"/>
  <c r="P171" i="11" s="1"/>
  <c r="M317" i="11"/>
  <c r="P317" i="11" s="1"/>
  <c r="P323" i="11"/>
  <c r="M15" i="11"/>
  <c r="O89" i="11"/>
  <c r="K159" i="11"/>
  <c r="I148" i="11"/>
  <c r="K148" i="11" s="1"/>
  <c r="K825" i="10"/>
  <c r="K729" i="10"/>
  <c r="K708" i="10"/>
  <c r="L279" i="10"/>
  <c r="O279" i="10" s="1"/>
  <c r="I112" i="10"/>
  <c r="K112" i="10" s="1"/>
  <c r="P22" i="11"/>
  <c r="M19" i="11"/>
  <c r="M12" i="11"/>
  <c r="P35" i="11"/>
  <c r="M34" i="11"/>
  <c r="P34" i="11" s="1"/>
  <c r="L44" i="11"/>
  <c r="L23" i="11"/>
  <c r="O46" i="11"/>
  <c r="L47" i="11"/>
  <c r="O47" i="11" s="1"/>
  <c r="O49" i="11"/>
  <c r="L26" i="11"/>
  <c r="L24" i="11" s="1"/>
  <c r="I76" i="11"/>
  <c r="O166" i="11"/>
  <c r="M267" i="11"/>
  <c r="P267" i="11" s="1"/>
  <c r="P269" i="11"/>
  <c r="M263" i="11"/>
  <c r="M261" i="11" s="1"/>
  <c r="M301" i="11"/>
  <c r="P301" i="11" s="1"/>
  <c r="P303" i="11"/>
  <c r="M300" i="11"/>
  <c r="P300" i="11" s="1"/>
  <c r="N408" i="11"/>
  <c r="N404" i="11"/>
  <c r="N402" i="11" s="1"/>
  <c r="M167" i="10"/>
  <c r="M165" i="10" s="1"/>
  <c r="N55" i="10"/>
  <c r="N53" i="10" s="1"/>
  <c r="N44" i="11"/>
  <c r="P44" i="11" s="1"/>
  <c r="N47" i="11"/>
  <c r="P58" i="11"/>
  <c r="P61" i="11"/>
  <c r="M91" i="11"/>
  <c r="P91" i="11" s="1"/>
  <c r="I131" i="11"/>
  <c r="K131" i="11" s="1"/>
  <c r="M168" i="11"/>
  <c r="P168" i="11" s="1"/>
  <c r="L228" i="11"/>
  <c r="L249" i="11"/>
  <c r="N264" i="11"/>
  <c r="P306" i="11"/>
  <c r="L317" i="11"/>
  <c r="P390" i="11"/>
  <c r="L533" i="11"/>
  <c r="O533" i="11" s="1"/>
  <c r="O535" i="11"/>
  <c r="I559" i="11"/>
  <c r="K576" i="11"/>
  <c r="L12" i="11"/>
  <c r="L19" i="11"/>
  <c r="O71" i="11"/>
  <c r="O96" i="11"/>
  <c r="O173" i="11"/>
  <c r="K440" i="11"/>
  <c r="I434" i="11"/>
  <c r="L90" i="11"/>
  <c r="J143" i="11"/>
  <c r="J131" i="11" s="1"/>
  <c r="L167" i="11"/>
  <c r="P186" i="11"/>
  <c r="N263" i="11"/>
  <c r="N279" i="11"/>
  <c r="N277" i="11" s="1"/>
  <c r="L318" i="11"/>
  <c r="O318" i="11" s="1"/>
  <c r="I364" i="11"/>
  <c r="L395" i="11"/>
  <c r="O395" i="11" s="1"/>
  <c r="M90" i="11"/>
  <c r="N121" i="11"/>
  <c r="N119" i="11" s="1"/>
  <c r="P133" i="11"/>
  <c r="M167" i="11"/>
  <c r="K174" i="11"/>
  <c r="L183" i="11"/>
  <c r="K244" i="11"/>
  <c r="I237" i="11"/>
  <c r="P299" i="11"/>
  <c r="M351" i="11"/>
  <c r="P351" i="11" s="1"/>
  <c r="P353" i="11"/>
  <c r="M347" i="11"/>
  <c r="N421" i="11"/>
  <c r="N422" i="11"/>
  <c r="O422" i="11" s="1"/>
  <c r="N331" i="11"/>
  <c r="O331" i="11" s="1"/>
  <c r="O333" i="11"/>
  <c r="N330" i="11"/>
  <c r="N391" i="11"/>
  <c r="N389" i="11" s="1"/>
  <c r="O394" i="11"/>
  <c r="L391" i="11"/>
  <c r="O391" i="11" s="1"/>
  <c r="N547" i="11"/>
  <c r="O547" i="11" s="1"/>
  <c r="N546" i="11"/>
  <c r="O549" i="11"/>
  <c r="O424" i="11"/>
  <c r="L429" i="11"/>
  <c r="O429" i="11" s="1"/>
  <c r="I443" i="11"/>
  <c r="K443" i="11" s="1"/>
  <c r="O503" i="11"/>
  <c r="L525" i="11"/>
  <c r="O525" i="11" s="1"/>
  <c r="P545" i="11"/>
  <c r="K592" i="11"/>
  <c r="N631" i="11"/>
  <c r="O787" i="11"/>
  <c r="I785" i="11"/>
  <c r="K785" i="11" s="1"/>
  <c r="K800" i="11"/>
  <c r="O806" i="11"/>
  <c r="L805" i="11"/>
  <c r="O805" i="11" s="1"/>
  <c r="K359" i="11"/>
  <c r="K593" i="11"/>
  <c r="N470" i="11"/>
  <c r="O470" i="11" s="1"/>
  <c r="O524" i="11"/>
  <c r="P630" i="11"/>
  <c r="K647" i="11"/>
  <c r="P755" i="11"/>
  <c r="M754" i="11"/>
  <c r="P754" i="11" s="1"/>
  <c r="O557" i="11"/>
  <c r="L555" i="11"/>
  <c r="O555" i="11" s="1"/>
  <c r="L546" i="11"/>
  <c r="K594" i="11"/>
  <c r="P687" i="11"/>
  <c r="M685" i="11"/>
  <c r="P685" i="11" s="1"/>
  <c r="J364" i="11"/>
  <c r="K381" i="11"/>
  <c r="J433" i="11"/>
  <c r="O456" i="11"/>
  <c r="L446" i="11"/>
  <c r="N469" i="11"/>
  <c r="O641" i="11"/>
  <c r="L639" i="11"/>
  <c r="O639" i="11" s="1"/>
  <c r="L631" i="11"/>
  <c r="L632" i="11"/>
  <c r="O632" i="11" s="1"/>
  <c r="I654" i="11"/>
  <c r="K654" i="11" s="1"/>
  <c r="P656" i="11"/>
  <c r="K675" i="11"/>
  <c r="K669" i="11"/>
  <c r="L687" i="11"/>
  <c r="O687" i="11" s="1"/>
  <c r="L631" i="8"/>
  <c r="O631" i="8" s="1"/>
  <c r="K728" i="9"/>
  <c r="L330" i="10"/>
  <c r="L328" i="10" s="1"/>
  <c r="O127" i="10"/>
  <c r="L231" i="9"/>
  <c r="M391" i="10"/>
  <c r="P391" i="10" s="1"/>
  <c r="O285" i="10"/>
  <c r="L283" i="10"/>
  <c r="O283" i="10" s="1"/>
  <c r="L228" i="10"/>
  <c r="P49" i="10"/>
  <c r="P269" i="10"/>
  <c r="K827" i="10"/>
  <c r="K824" i="10"/>
  <c r="L90" i="10"/>
  <c r="L88" i="10" s="1"/>
  <c r="L300" i="10"/>
  <c r="O300" i="10" s="1"/>
  <c r="K725" i="10"/>
  <c r="L446" i="10"/>
  <c r="L444" i="10" s="1"/>
  <c r="O444" i="10" s="1"/>
  <c r="I197" i="10"/>
  <c r="K197" i="10" s="1"/>
  <c r="O184" i="10"/>
  <c r="K821" i="10"/>
  <c r="K728" i="10"/>
  <c r="O351" i="10"/>
  <c r="N263" i="10"/>
  <c r="N261" i="10" s="1"/>
  <c r="I260" i="10"/>
  <c r="K260" i="10" s="1"/>
  <c r="L249" i="10"/>
  <c r="O249" i="10" s="1"/>
  <c r="K823" i="10"/>
  <c r="P323" i="10"/>
  <c r="O320" i="10"/>
  <c r="P306" i="10"/>
  <c r="P303" i="10"/>
  <c r="P264" i="10"/>
  <c r="K193" i="10"/>
  <c r="I190" i="10"/>
  <c r="K190" i="10" s="1"/>
  <c r="K726" i="10"/>
  <c r="O456" i="10"/>
  <c r="L392" i="10"/>
  <c r="O392" i="10" s="1"/>
  <c r="J327" i="10"/>
  <c r="K327" i="10" s="1"/>
  <c r="L209" i="10"/>
  <c r="O209" i="10" s="1"/>
  <c r="M152" i="10"/>
  <c r="P152" i="10" s="1"/>
  <c r="P154" i="10"/>
  <c r="P46" i="10"/>
  <c r="N404" i="9"/>
  <c r="N402" i="9" s="1"/>
  <c r="K822" i="10"/>
  <c r="L152" i="10"/>
  <c r="O152" i="10" s="1"/>
  <c r="O154" i="10"/>
  <c r="L121" i="10"/>
  <c r="O121" i="10" s="1"/>
  <c r="K111" i="10"/>
  <c r="I77" i="10"/>
  <c r="K77" i="10" s="1"/>
  <c r="I148" i="10"/>
  <c r="K148" i="10" s="1"/>
  <c r="J721" i="10"/>
  <c r="K721" i="10" s="1"/>
  <c r="L347" i="10"/>
  <c r="L345" i="10" s="1"/>
  <c r="N807" i="10"/>
  <c r="M805" i="10"/>
  <c r="P805" i="10" s="1"/>
  <c r="K800" i="10"/>
  <c r="M770" i="10"/>
  <c r="P770" i="10" s="1"/>
  <c r="M754" i="10"/>
  <c r="P754" i="10" s="1"/>
  <c r="M737" i="10"/>
  <c r="P737" i="10" s="1"/>
  <c r="K537" i="10"/>
  <c r="L502" i="10"/>
  <c r="O502" i="10" s="1"/>
  <c r="O410" i="10"/>
  <c r="I364" i="10"/>
  <c r="K364" i="10" s="1"/>
  <c r="K340" i="10"/>
  <c r="O323" i="10"/>
  <c r="L317" i="10"/>
  <c r="O317" i="10" s="1"/>
  <c r="N300" i="10"/>
  <c r="N298" i="10" s="1"/>
  <c r="P282" i="10"/>
  <c r="O269" i="10"/>
  <c r="L263" i="10"/>
  <c r="L261" i="10" s="1"/>
  <c r="N227" i="10"/>
  <c r="K235" i="10"/>
  <c r="L217" i="10"/>
  <c r="O217" i="10" s="1"/>
  <c r="M183" i="10"/>
  <c r="M181" i="10" s="1"/>
  <c r="J164" i="10"/>
  <c r="L167" i="10"/>
  <c r="L165" i="10" s="1"/>
  <c r="N151" i="10"/>
  <c r="N149" i="10" s="1"/>
  <c r="O124" i="10"/>
  <c r="L68" i="10"/>
  <c r="O68" i="10" s="1"/>
  <c r="N34" i="10"/>
  <c r="L19" i="10"/>
  <c r="O449" i="9"/>
  <c r="O74" i="9"/>
  <c r="K826" i="10"/>
  <c r="L805" i="10"/>
  <c r="O805" i="10" s="1"/>
  <c r="O791" i="10"/>
  <c r="O771" i="10"/>
  <c r="O755" i="10"/>
  <c r="O738" i="10"/>
  <c r="J722" i="10"/>
  <c r="K722" i="10" s="1"/>
  <c r="O557" i="10"/>
  <c r="M523" i="10"/>
  <c r="P523" i="10" s="1"/>
  <c r="L469" i="10"/>
  <c r="O469" i="10" s="1"/>
  <c r="L470" i="10"/>
  <c r="O470" i="10" s="1"/>
  <c r="K462" i="10"/>
  <c r="P449" i="10"/>
  <c r="N447" i="10"/>
  <c r="M408" i="10"/>
  <c r="P408" i="10" s="1"/>
  <c r="P397" i="10"/>
  <c r="K288" i="10"/>
  <c r="O282" i="10"/>
  <c r="L231" i="10"/>
  <c r="K224" i="10"/>
  <c r="L183" i="10"/>
  <c r="L181" i="10" s="1"/>
  <c r="I174" i="10"/>
  <c r="K174" i="10" s="1"/>
  <c r="M151" i="10"/>
  <c r="M149" i="10" s="1"/>
  <c r="P149" i="10" s="1"/>
  <c r="P140" i="10"/>
  <c r="P137" i="10"/>
  <c r="M134" i="10"/>
  <c r="P134" i="10" s="1"/>
  <c r="N121" i="10"/>
  <c r="N119" i="10" s="1"/>
  <c r="L122" i="10"/>
  <c r="O122" i="10" s="1"/>
  <c r="O96" i="10"/>
  <c r="K79" i="10"/>
  <c r="L55" i="10"/>
  <c r="L43" i="10"/>
  <c r="L41" i="10" s="1"/>
  <c r="M15" i="10"/>
  <c r="P15" i="10" s="1"/>
  <c r="K828" i="10"/>
  <c r="L631" i="10"/>
  <c r="L629" i="10" s="1"/>
  <c r="O629" i="10" s="1"/>
  <c r="L632" i="10"/>
  <c r="O632" i="10" s="1"/>
  <c r="O549" i="10"/>
  <c r="N547" i="10"/>
  <c r="O547" i="10" s="1"/>
  <c r="L525" i="10"/>
  <c r="O525" i="10" s="1"/>
  <c r="L526" i="10"/>
  <c r="O526" i="10" s="1"/>
  <c r="O407" i="10"/>
  <c r="O397" i="10"/>
  <c r="L348" i="10"/>
  <c r="O348" i="10" s="1"/>
  <c r="P320" i="10"/>
  <c r="J288" i="10"/>
  <c r="J275" i="10" s="1"/>
  <c r="P266" i="10"/>
  <c r="I208" i="10"/>
  <c r="K208" i="10" s="1"/>
  <c r="O173" i="10"/>
  <c r="O157" i="10"/>
  <c r="L151" i="10"/>
  <c r="O151" i="10" s="1"/>
  <c r="K115" i="10"/>
  <c r="O93" i="10"/>
  <c r="L91" i="10"/>
  <c r="O91" i="10" s="1"/>
  <c r="O61" i="10"/>
  <c r="P303" i="9"/>
  <c r="N805" i="10"/>
  <c r="L789" i="10"/>
  <c r="O789" i="10" s="1"/>
  <c r="M786" i="10"/>
  <c r="P786" i="10" s="1"/>
  <c r="J593" i="10"/>
  <c r="L546" i="10"/>
  <c r="O546" i="10" s="1"/>
  <c r="N502" i="10"/>
  <c r="P447" i="10"/>
  <c r="P394" i="10"/>
  <c r="M334" i="10"/>
  <c r="P334" i="10" s="1"/>
  <c r="M331" i="10"/>
  <c r="P74" i="10"/>
  <c r="P71" i="10"/>
  <c r="K271" i="9"/>
  <c r="N788" i="10"/>
  <c r="N786" i="10" s="1"/>
  <c r="K723" i="10"/>
  <c r="K720" i="10"/>
  <c r="N687" i="10"/>
  <c r="N685" i="10" s="1"/>
  <c r="J594" i="10"/>
  <c r="M549" i="10"/>
  <c r="M547" i="10" s="1"/>
  <c r="P547" i="10" s="1"/>
  <c r="L533" i="10"/>
  <c r="O533" i="10" s="1"/>
  <c r="M404" i="10"/>
  <c r="P404" i="10" s="1"/>
  <c r="P351" i="10"/>
  <c r="M347" i="10"/>
  <c r="M345" i="10" s="1"/>
  <c r="N330" i="10"/>
  <c r="L23" i="10"/>
  <c r="L21" i="10" s="1"/>
  <c r="L230" i="10"/>
  <c r="L198" i="10"/>
  <c r="O198" i="10" s="1"/>
  <c r="L134" i="10"/>
  <c r="O134" i="10" s="1"/>
  <c r="K99" i="10"/>
  <c r="M90" i="10"/>
  <c r="I76" i="10"/>
  <c r="K76" i="10" s="1"/>
  <c r="O58" i="10"/>
  <c r="N56" i="10"/>
  <c r="O56" i="10" s="1"/>
  <c r="N19" i="10"/>
  <c r="K594" i="10"/>
  <c r="K592" i="10"/>
  <c r="I543" i="10"/>
  <c r="K543" i="10" s="1"/>
  <c r="K559" i="10"/>
  <c r="O788" i="10"/>
  <c r="L786" i="10"/>
  <c r="O786" i="10" s="1"/>
  <c r="L685" i="10"/>
  <c r="O685" i="10" s="1"/>
  <c r="J592" i="10"/>
  <c r="K593" i="10"/>
  <c r="K675" i="10"/>
  <c r="L657" i="10"/>
  <c r="O657" i="10" s="1"/>
  <c r="N526" i="10"/>
  <c r="N183" i="10"/>
  <c r="I112" i="9"/>
  <c r="K112" i="9" s="1"/>
  <c r="P503" i="10"/>
  <c r="M502" i="10"/>
  <c r="P502" i="10" s="1"/>
  <c r="N467" i="10"/>
  <c r="L469" i="9"/>
  <c r="L467" i="9" s="1"/>
  <c r="O467" i="9" s="1"/>
  <c r="L229" i="9"/>
  <c r="L151" i="9"/>
  <c r="L149" i="9" s="1"/>
  <c r="O149" i="9" s="1"/>
  <c r="K146" i="9"/>
  <c r="M690" i="10"/>
  <c r="L688" i="10"/>
  <c r="O688" i="10" s="1"/>
  <c r="K672" i="10"/>
  <c r="O660" i="10"/>
  <c r="N657" i="10"/>
  <c r="N655" i="10" s="1"/>
  <c r="K651" i="10"/>
  <c r="L639" i="10"/>
  <c r="O639" i="10" s="1"/>
  <c r="K576" i="10"/>
  <c r="N168" i="10"/>
  <c r="O168" i="10" s="1"/>
  <c r="N167" i="10"/>
  <c r="O170" i="10"/>
  <c r="I654" i="10"/>
  <c r="K654" i="10" s="1"/>
  <c r="J364" i="10"/>
  <c r="K723" i="9"/>
  <c r="O690" i="10"/>
  <c r="K674" i="10"/>
  <c r="P657" i="10"/>
  <c r="P468" i="10"/>
  <c r="M467" i="10"/>
  <c r="P467" i="10" s="1"/>
  <c r="O336" i="10"/>
  <c r="L334" i="10"/>
  <c r="O334" i="10" s="1"/>
  <c r="O333" i="10"/>
  <c r="L331" i="10"/>
  <c r="N317" i="10"/>
  <c r="N315" i="10" s="1"/>
  <c r="I248" i="10"/>
  <c r="K248" i="10" s="1"/>
  <c r="K255" i="10"/>
  <c r="P166" i="10"/>
  <c r="P316" i="10"/>
  <c r="I434" i="10"/>
  <c r="K440" i="10"/>
  <c r="I442" i="10"/>
  <c r="K442" i="10" s="1"/>
  <c r="K460" i="10"/>
  <c r="K225" i="10"/>
  <c r="O410" i="9"/>
  <c r="O407" i="9"/>
  <c r="K673" i="10"/>
  <c r="P555" i="10"/>
  <c r="L36" i="10"/>
  <c r="I276" i="10"/>
  <c r="K276" i="10" s="1"/>
  <c r="K287" i="10"/>
  <c r="P524" i="10"/>
  <c r="L447" i="10"/>
  <c r="O447" i="10" s="1"/>
  <c r="L33" i="10"/>
  <c r="L421" i="10"/>
  <c r="P407" i="10"/>
  <c r="O403" i="10"/>
  <c r="M392" i="10"/>
  <c r="P392" i="10" s="1"/>
  <c r="L391" i="10"/>
  <c r="M348" i="10"/>
  <c r="P348" i="10" s="1"/>
  <c r="N331" i="10"/>
  <c r="M330" i="10"/>
  <c r="L304" i="10"/>
  <c r="O304" i="10" s="1"/>
  <c r="L301" i="10"/>
  <c r="O301" i="10" s="1"/>
  <c r="P299" i="10"/>
  <c r="I297" i="10"/>
  <c r="K297" i="10" s="1"/>
  <c r="M283" i="10"/>
  <c r="P283" i="10" s="1"/>
  <c r="L229" i="10"/>
  <c r="L238" i="10"/>
  <c r="J226" i="10"/>
  <c r="J180" i="10" s="1"/>
  <c r="N134" i="10"/>
  <c r="N132" i="10" s="1"/>
  <c r="P127" i="10"/>
  <c r="K87" i="10"/>
  <c r="P61" i="10"/>
  <c r="M59" i="10"/>
  <c r="P59" i="10" s="1"/>
  <c r="O54" i="10"/>
  <c r="J537" i="10"/>
  <c r="J522" i="10" s="1"/>
  <c r="O449" i="10"/>
  <c r="K435" i="10"/>
  <c r="J433" i="10"/>
  <c r="J417" i="10" s="1"/>
  <c r="K417" i="10" s="1"/>
  <c r="N404" i="10"/>
  <c r="N402" i="10" s="1"/>
  <c r="P353" i="10"/>
  <c r="P350" i="10"/>
  <c r="M317" i="10"/>
  <c r="P317" i="10" s="1"/>
  <c r="O303" i="10"/>
  <c r="O264" i="10"/>
  <c r="P157" i="10"/>
  <c r="P58" i="10"/>
  <c r="M56" i="10"/>
  <c r="M55" i="10"/>
  <c r="N23" i="10"/>
  <c r="N29" i="10"/>
  <c r="N12" i="10"/>
  <c r="O545" i="10"/>
  <c r="O479" i="10"/>
  <c r="O424" i="10"/>
  <c r="O353" i="10"/>
  <c r="O350" i="10"/>
  <c r="O329" i="10"/>
  <c r="K325" i="10"/>
  <c r="N279" i="10"/>
  <c r="N277" i="10" s="1"/>
  <c r="I233" i="10"/>
  <c r="K233" i="10" s="1"/>
  <c r="O186" i="10"/>
  <c r="O120" i="10"/>
  <c r="M446" i="10"/>
  <c r="P446" i="10" s="1"/>
  <c r="N33" i="10"/>
  <c r="N30" i="10" s="1"/>
  <c r="N421" i="10"/>
  <c r="N419" i="10" s="1"/>
  <c r="L404" i="10"/>
  <c r="O404" i="10" s="1"/>
  <c r="N391" i="10"/>
  <c r="N389" i="10" s="1"/>
  <c r="N347" i="10"/>
  <c r="N345" i="10" s="1"/>
  <c r="M300" i="10"/>
  <c r="P300" i="10" s="1"/>
  <c r="I143" i="10"/>
  <c r="K145" i="10"/>
  <c r="L26" i="10"/>
  <c r="L24" i="10" s="1"/>
  <c r="P133" i="10"/>
  <c r="K98" i="10"/>
  <c r="I86" i="10"/>
  <c r="K86" i="10" s="1"/>
  <c r="O12" i="10"/>
  <c r="N15" i="10"/>
  <c r="O431" i="10"/>
  <c r="M424" i="10"/>
  <c r="N422" i="10"/>
  <c r="O422" i="10" s="1"/>
  <c r="M279" i="10"/>
  <c r="P279" i="10" s="1"/>
  <c r="M263" i="10"/>
  <c r="J143" i="10"/>
  <c r="J131" i="10" s="1"/>
  <c r="K144" i="10"/>
  <c r="P124" i="10"/>
  <c r="M122" i="10"/>
  <c r="P122" i="10" s="1"/>
  <c r="M121" i="10"/>
  <c r="P12" i="10"/>
  <c r="M187" i="10"/>
  <c r="P187" i="10" s="1"/>
  <c r="M184" i="10"/>
  <c r="P184" i="10" s="1"/>
  <c r="M171" i="10"/>
  <c r="P171" i="10" s="1"/>
  <c r="M168" i="10"/>
  <c r="L138" i="10"/>
  <c r="O138" i="10" s="1"/>
  <c r="L135" i="10"/>
  <c r="O135" i="10" s="1"/>
  <c r="M94" i="10"/>
  <c r="P94" i="10" s="1"/>
  <c r="M91" i="10"/>
  <c r="P91" i="10" s="1"/>
  <c r="L72" i="10"/>
  <c r="O72" i="10" s="1"/>
  <c r="L69" i="10"/>
  <c r="O69" i="10" s="1"/>
  <c r="P67" i="10"/>
  <c r="L47" i="10"/>
  <c r="O47" i="10" s="1"/>
  <c r="L44" i="10"/>
  <c r="P42" i="10"/>
  <c r="O32" i="10"/>
  <c r="L29" i="10"/>
  <c r="O25" i="10"/>
  <c r="M23" i="10"/>
  <c r="L15" i="10"/>
  <c r="P186" i="10"/>
  <c r="P170" i="10"/>
  <c r="O140" i="10"/>
  <c r="O137" i="10"/>
  <c r="P93" i="10"/>
  <c r="O71" i="10"/>
  <c r="O46" i="10"/>
  <c r="P35" i="10"/>
  <c r="N26" i="10"/>
  <c r="N16" i="10" s="1"/>
  <c r="P22" i="10"/>
  <c r="M19" i="10"/>
  <c r="N68" i="10"/>
  <c r="N66" i="10" s="1"/>
  <c r="N43" i="10"/>
  <c r="N41" i="10" s="1"/>
  <c r="M26" i="10"/>
  <c r="N90" i="10"/>
  <c r="N88" i="10" s="1"/>
  <c r="M68" i="10"/>
  <c r="P68" i="10" s="1"/>
  <c r="N44" i="10"/>
  <c r="P44" i="10" s="1"/>
  <c r="M43" i="10"/>
  <c r="M41" i="10" s="1"/>
  <c r="M29" i="10"/>
  <c r="K576" i="9"/>
  <c r="L546" i="9"/>
  <c r="L544" i="9" s="1"/>
  <c r="K145" i="9"/>
  <c r="L789" i="9"/>
  <c r="O789" i="9" s="1"/>
  <c r="J722" i="9"/>
  <c r="O660" i="9"/>
  <c r="K537" i="9"/>
  <c r="M121" i="9"/>
  <c r="P121" i="9" s="1"/>
  <c r="O189" i="9"/>
  <c r="O137" i="9"/>
  <c r="O49" i="9"/>
  <c r="K720" i="9"/>
  <c r="K462" i="9"/>
  <c r="I434" i="9"/>
  <c r="K434" i="9" s="1"/>
  <c r="K115" i="9"/>
  <c r="P61" i="9"/>
  <c r="K176" i="8"/>
  <c r="O557" i="9"/>
  <c r="J364" i="9"/>
  <c r="I364" i="9"/>
  <c r="K364" i="9" s="1"/>
  <c r="P306" i="9"/>
  <c r="P285" i="9"/>
  <c r="L280" i="9"/>
  <c r="O280" i="9" s="1"/>
  <c r="P266" i="9"/>
  <c r="K215" i="9"/>
  <c r="O173" i="9"/>
  <c r="J143" i="9"/>
  <c r="J131" i="9" s="1"/>
  <c r="L68" i="9"/>
  <c r="O68" i="9" s="1"/>
  <c r="L658" i="9"/>
  <c r="O658" i="9" s="1"/>
  <c r="I654" i="9"/>
  <c r="K654" i="9" s="1"/>
  <c r="L395" i="9"/>
  <c r="O395" i="9" s="1"/>
  <c r="N330" i="9"/>
  <c r="N328" i="9" s="1"/>
  <c r="O323" i="9"/>
  <c r="O320" i="9"/>
  <c r="M279" i="9"/>
  <c r="P279" i="9" s="1"/>
  <c r="L238" i="9"/>
  <c r="O238" i="9" s="1"/>
  <c r="P168" i="9"/>
  <c r="K100" i="9"/>
  <c r="P96" i="9"/>
  <c r="M183" i="9"/>
  <c r="M181" i="9" s="1"/>
  <c r="K651" i="8"/>
  <c r="M404" i="9"/>
  <c r="P404" i="9" s="1"/>
  <c r="P394" i="9"/>
  <c r="O266" i="9"/>
  <c r="L547" i="9"/>
  <c r="O353" i="9"/>
  <c r="K340" i="9"/>
  <c r="O333" i="9"/>
  <c r="M317" i="9"/>
  <c r="P317" i="9" s="1"/>
  <c r="M90" i="9"/>
  <c r="M88" i="9" s="1"/>
  <c r="K651" i="9"/>
  <c r="O472" i="9"/>
  <c r="K559" i="9"/>
  <c r="I543" i="9"/>
  <c r="K543" i="9" s="1"/>
  <c r="P545" i="9"/>
  <c r="N263" i="9"/>
  <c r="N261" i="9" s="1"/>
  <c r="M171" i="9"/>
  <c r="P171" i="9" s="1"/>
  <c r="K338" i="7"/>
  <c r="N317" i="7"/>
  <c r="N315" i="7" s="1"/>
  <c r="K701" i="8"/>
  <c r="N263" i="8"/>
  <c r="N261" i="8" s="1"/>
  <c r="K99" i="8"/>
  <c r="K828" i="9"/>
  <c r="K825" i="9"/>
  <c r="K822" i="9"/>
  <c r="N808" i="9"/>
  <c r="N772" i="9"/>
  <c r="N770" i="9" s="1"/>
  <c r="O755" i="9"/>
  <c r="N739" i="9"/>
  <c r="N737" i="9" s="1"/>
  <c r="K726" i="9"/>
  <c r="K722" i="9"/>
  <c r="L631" i="9"/>
  <c r="O631" i="9" s="1"/>
  <c r="M629" i="9"/>
  <c r="P629" i="9" s="1"/>
  <c r="N547" i="9"/>
  <c r="J537" i="9"/>
  <c r="J522" i="9" s="1"/>
  <c r="N502" i="9"/>
  <c r="J433" i="9"/>
  <c r="J417" i="9" s="1"/>
  <c r="L392" i="9"/>
  <c r="O392" i="9" s="1"/>
  <c r="M347" i="9"/>
  <c r="M345" i="9" s="1"/>
  <c r="K338" i="9"/>
  <c r="O303" i="9"/>
  <c r="L283" i="9"/>
  <c r="O283" i="9" s="1"/>
  <c r="M263" i="9"/>
  <c r="M261" i="9" s="1"/>
  <c r="M187" i="9"/>
  <c r="P187" i="9" s="1"/>
  <c r="M184" i="9"/>
  <c r="P184" i="9" s="1"/>
  <c r="P170" i="9"/>
  <c r="P157" i="9"/>
  <c r="P127" i="9"/>
  <c r="L90" i="9"/>
  <c r="L88" i="9" s="1"/>
  <c r="M55" i="9"/>
  <c r="M53" i="9" s="1"/>
  <c r="L26" i="9"/>
  <c r="L24" i="9" s="1"/>
  <c r="L43" i="9"/>
  <c r="L41" i="9" s="1"/>
  <c r="O547" i="9"/>
  <c r="M408" i="9"/>
  <c r="P408" i="9" s="1"/>
  <c r="M391" i="9"/>
  <c r="P391" i="9" s="1"/>
  <c r="O350" i="9"/>
  <c r="J327" i="9"/>
  <c r="K327" i="9" s="1"/>
  <c r="N300" i="9"/>
  <c r="N298" i="9" s="1"/>
  <c r="P282" i="9"/>
  <c r="M280" i="9"/>
  <c r="P280" i="9" s="1"/>
  <c r="N227" i="9"/>
  <c r="L230" i="9"/>
  <c r="J226" i="9"/>
  <c r="J180" i="9" s="1"/>
  <c r="K224" i="9"/>
  <c r="J164" i="9"/>
  <c r="P154" i="9"/>
  <c r="P124" i="9"/>
  <c r="M122" i="9"/>
  <c r="P122" i="9" s="1"/>
  <c r="O58" i="9"/>
  <c r="K729" i="8"/>
  <c r="K827" i="9"/>
  <c r="K824" i="9"/>
  <c r="K821" i="9"/>
  <c r="M786" i="9"/>
  <c r="P786" i="9" s="1"/>
  <c r="K725" i="9"/>
  <c r="M549" i="9"/>
  <c r="M546" i="9" s="1"/>
  <c r="P546" i="9" s="1"/>
  <c r="L470" i="9"/>
  <c r="O470" i="9" s="1"/>
  <c r="O456" i="9"/>
  <c r="O431" i="9"/>
  <c r="P407" i="9"/>
  <c r="P353" i="9"/>
  <c r="M334" i="9"/>
  <c r="P334" i="9" s="1"/>
  <c r="N331" i="9"/>
  <c r="P331" i="9" s="1"/>
  <c r="O306" i="9"/>
  <c r="J288" i="9"/>
  <c r="J275" i="9" s="1"/>
  <c r="I275" i="9"/>
  <c r="K275" i="9" s="1"/>
  <c r="I197" i="9"/>
  <c r="K197" i="9" s="1"/>
  <c r="M167" i="9"/>
  <c r="M165" i="9" s="1"/>
  <c r="N151" i="9"/>
  <c r="N149" i="9" s="1"/>
  <c r="L134" i="9"/>
  <c r="L132" i="9" s="1"/>
  <c r="O132" i="9" s="1"/>
  <c r="N34" i="9"/>
  <c r="O25" i="9"/>
  <c r="K649" i="7"/>
  <c r="N754" i="9"/>
  <c r="L639" i="9"/>
  <c r="O639" i="9" s="1"/>
  <c r="P555" i="9"/>
  <c r="M502" i="9"/>
  <c r="P502" i="9" s="1"/>
  <c r="P397" i="9"/>
  <c r="L351" i="9"/>
  <c r="O351" i="9" s="1"/>
  <c r="N317" i="9"/>
  <c r="N315" i="9" s="1"/>
  <c r="L300" i="9"/>
  <c r="O300" i="9" s="1"/>
  <c r="L209" i="9"/>
  <c r="O209" i="9" s="1"/>
  <c r="M151" i="9"/>
  <c r="P151" i="9" s="1"/>
  <c r="K99" i="9"/>
  <c r="P93" i="9"/>
  <c r="M91" i="9"/>
  <c r="P91" i="9" s="1"/>
  <c r="M321" i="8"/>
  <c r="P321" i="8" s="1"/>
  <c r="K826" i="9"/>
  <c r="K823" i="9"/>
  <c r="M805" i="9"/>
  <c r="P805" i="9" s="1"/>
  <c r="J721" i="9"/>
  <c r="K721" i="9" s="1"/>
  <c r="J593" i="9"/>
  <c r="J592" i="9" s="1"/>
  <c r="N544" i="9"/>
  <c r="L525" i="9"/>
  <c r="O525" i="9" s="1"/>
  <c r="M405" i="9"/>
  <c r="P405" i="9" s="1"/>
  <c r="P350" i="9"/>
  <c r="P333" i="9"/>
  <c r="L330" i="9"/>
  <c r="L317" i="9"/>
  <c r="O317" i="9" s="1"/>
  <c r="L267" i="9"/>
  <c r="O267" i="9" s="1"/>
  <c r="L249" i="9"/>
  <c r="O249" i="9" s="1"/>
  <c r="K235" i="9"/>
  <c r="L217" i="9"/>
  <c r="O217" i="9" s="1"/>
  <c r="K193" i="9"/>
  <c r="O140" i="9"/>
  <c r="O71" i="9"/>
  <c r="L69" i="9"/>
  <c r="O69" i="9" s="1"/>
  <c r="K594" i="9"/>
  <c r="N805" i="9"/>
  <c r="N629" i="9"/>
  <c r="O688" i="9"/>
  <c r="L655" i="9"/>
  <c r="O655" i="9" s="1"/>
  <c r="K728" i="8"/>
  <c r="N347" i="8"/>
  <c r="N345" i="8" s="1"/>
  <c r="L138" i="8"/>
  <c r="O138" i="8" s="1"/>
  <c r="N134" i="8"/>
  <c r="N132" i="8" s="1"/>
  <c r="L68" i="8"/>
  <c r="O68" i="8" s="1"/>
  <c r="L805" i="9"/>
  <c r="O805" i="9" s="1"/>
  <c r="O791" i="9"/>
  <c r="N788" i="9"/>
  <c r="N786" i="9" s="1"/>
  <c r="L786" i="9"/>
  <c r="O786" i="9" s="1"/>
  <c r="M770" i="9"/>
  <c r="P770" i="9" s="1"/>
  <c r="M754" i="9"/>
  <c r="P754" i="9" s="1"/>
  <c r="M737" i="9"/>
  <c r="P737" i="9" s="1"/>
  <c r="K675" i="9"/>
  <c r="O634" i="9"/>
  <c r="N631" i="9"/>
  <c r="L533" i="9"/>
  <c r="O533" i="9" s="1"/>
  <c r="O524" i="9"/>
  <c r="L477" i="9"/>
  <c r="O477" i="9" s="1"/>
  <c r="O479" i="9"/>
  <c r="N33" i="9"/>
  <c r="N422" i="9"/>
  <c r="O422" i="9" s="1"/>
  <c r="N421" i="9"/>
  <c r="N419" i="9" s="1"/>
  <c r="P351" i="9"/>
  <c r="L331" i="9"/>
  <c r="L184" i="9"/>
  <c r="O184" i="9" s="1"/>
  <c r="L183" i="9"/>
  <c r="O186" i="9"/>
  <c r="K78" i="9"/>
  <c r="I76" i="9"/>
  <c r="L12" i="9"/>
  <c r="L19" i="9"/>
  <c r="O22" i="9"/>
  <c r="K827" i="6"/>
  <c r="P124" i="7"/>
  <c r="K828" i="8"/>
  <c r="K825" i="8"/>
  <c r="K822" i="8"/>
  <c r="K723" i="8"/>
  <c r="O690" i="9"/>
  <c r="K674" i="9"/>
  <c r="O656" i="9"/>
  <c r="O545" i="9"/>
  <c r="O528" i="9"/>
  <c r="N525" i="9"/>
  <c r="N523" i="9" s="1"/>
  <c r="M467" i="9"/>
  <c r="P467" i="9" s="1"/>
  <c r="N444" i="9"/>
  <c r="I433" i="9"/>
  <c r="P348" i="9"/>
  <c r="P316" i="9"/>
  <c r="I276" i="9"/>
  <c r="K276" i="9" s="1"/>
  <c r="K287" i="9"/>
  <c r="P264" i="9"/>
  <c r="P182" i="9"/>
  <c r="I148" i="9"/>
  <c r="K148" i="9" s="1"/>
  <c r="K159" i="9"/>
  <c r="O154" i="9"/>
  <c r="L152" i="9"/>
  <c r="O152" i="9" s="1"/>
  <c r="P54" i="9"/>
  <c r="K800" i="8"/>
  <c r="P336" i="8"/>
  <c r="I785" i="9"/>
  <c r="K785" i="9" s="1"/>
  <c r="L687" i="9"/>
  <c r="K673" i="9"/>
  <c r="K669" i="9"/>
  <c r="O549" i="9"/>
  <c r="I442" i="9"/>
  <c r="K442" i="9" s="1"/>
  <c r="O348" i="9"/>
  <c r="L168" i="9"/>
  <c r="O168" i="9" s="1"/>
  <c r="O170" i="9"/>
  <c r="L167" i="9"/>
  <c r="P120" i="9"/>
  <c r="P323" i="9"/>
  <c r="M321" i="9"/>
  <c r="P321" i="9" s="1"/>
  <c r="K143" i="9"/>
  <c r="I131" i="9"/>
  <c r="K131" i="9" s="1"/>
  <c r="P331" i="8"/>
  <c r="P807" i="9"/>
  <c r="P788" i="9"/>
  <c r="M690" i="9"/>
  <c r="N657" i="9"/>
  <c r="N655" i="9" s="1"/>
  <c r="P631" i="9"/>
  <c r="I592" i="9"/>
  <c r="K592" i="9" s="1"/>
  <c r="P504" i="9"/>
  <c r="O503" i="9"/>
  <c r="N467" i="9"/>
  <c r="L334" i="9"/>
  <c r="O334" i="9" s="1"/>
  <c r="P320" i="9"/>
  <c r="M318" i="9"/>
  <c r="P318" i="9" s="1"/>
  <c r="P262" i="9"/>
  <c r="I233" i="9"/>
  <c r="K233" i="9" s="1"/>
  <c r="I248" i="9"/>
  <c r="K248" i="9" s="1"/>
  <c r="K255" i="9"/>
  <c r="M34" i="9"/>
  <c r="P34" i="9" s="1"/>
  <c r="P36" i="9"/>
  <c r="O29" i="9"/>
  <c r="O262" i="9"/>
  <c r="L228" i="9"/>
  <c r="L33" i="9"/>
  <c r="L31" i="9" s="1"/>
  <c r="L421" i="9"/>
  <c r="L391" i="9"/>
  <c r="L347" i="9"/>
  <c r="M330" i="9"/>
  <c r="I297" i="9"/>
  <c r="K297" i="9" s="1"/>
  <c r="L279" i="9"/>
  <c r="M267" i="9"/>
  <c r="P267" i="9" s="1"/>
  <c r="N23" i="9"/>
  <c r="N21" i="9" s="1"/>
  <c r="P15" i="9"/>
  <c r="O15" i="9"/>
  <c r="K438" i="9"/>
  <c r="O424" i="9"/>
  <c r="O329" i="9"/>
  <c r="K325" i="9"/>
  <c r="L263" i="9"/>
  <c r="K244" i="9"/>
  <c r="P186" i="9"/>
  <c r="N183" i="9"/>
  <c r="K176" i="9"/>
  <c r="K81" i="9"/>
  <c r="I77" i="9"/>
  <c r="M23" i="9"/>
  <c r="L446" i="9"/>
  <c r="L404" i="9"/>
  <c r="N391" i="9"/>
  <c r="N389" i="9" s="1"/>
  <c r="N347" i="9"/>
  <c r="N345" i="9" s="1"/>
  <c r="M300" i="9"/>
  <c r="N279" i="9"/>
  <c r="N277" i="9" s="1"/>
  <c r="L198" i="9"/>
  <c r="O198" i="9" s="1"/>
  <c r="K174" i="9"/>
  <c r="I164" i="9"/>
  <c r="K164" i="9" s="1"/>
  <c r="P150" i="9"/>
  <c r="O96" i="9"/>
  <c r="L94" i="9"/>
  <c r="O94" i="9" s="1"/>
  <c r="P58" i="9"/>
  <c r="N56" i="9"/>
  <c r="P56" i="9" s="1"/>
  <c r="P29" i="9"/>
  <c r="L36" i="9"/>
  <c r="O36" i="9" s="1"/>
  <c r="M424" i="9"/>
  <c r="L264" i="9"/>
  <c r="O264" i="9" s="1"/>
  <c r="O157" i="9"/>
  <c r="L155" i="9"/>
  <c r="O155" i="9" s="1"/>
  <c r="N121" i="9"/>
  <c r="N119" i="9" s="1"/>
  <c r="K98" i="9"/>
  <c r="J86" i="9"/>
  <c r="K86" i="9" s="1"/>
  <c r="O93" i="9"/>
  <c r="L91" i="9"/>
  <c r="O91" i="9" s="1"/>
  <c r="N55" i="9"/>
  <c r="N53" i="9" s="1"/>
  <c r="O35" i="9"/>
  <c r="P140" i="9"/>
  <c r="P137" i="9"/>
  <c r="P74" i="9"/>
  <c r="P71" i="9"/>
  <c r="P49" i="9"/>
  <c r="P46" i="9"/>
  <c r="L23" i="9"/>
  <c r="L21" i="9" s="1"/>
  <c r="N19" i="9"/>
  <c r="N12" i="9"/>
  <c r="L121" i="9"/>
  <c r="L55" i="9"/>
  <c r="O46" i="9"/>
  <c r="N26" i="9"/>
  <c r="M19" i="9"/>
  <c r="M12" i="9"/>
  <c r="N134" i="9"/>
  <c r="N132" i="9" s="1"/>
  <c r="L125" i="9"/>
  <c r="O125" i="9" s="1"/>
  <c r="L122" i="9"/>
  <c r="O122" i="9" s="1"/>
  <c r="N68" i="9"/>
  <c r="N66" i="9" s="1"/>
  <c r="L59" i="9"/>
  <c r="O59" i="9" s="1"/>
  <c r="L56" i="9"/>
  <c r="N43" i="9"/>
  <c r="M26" i="9"/>
  <c r="M24" i="9" s="1"/>
  <c r="N167" i="9"/>
  <c r="M134" i="9"/>
  <c r="N90" i="9"/>
  <c r="N88" i="9" s="1"/>
  <c r="M68" i="9"/>
  <c r="N44" i="9"/>
  <c r="P44" i="9" s="1"/>
  <c r="M43" i="9"/>
  <c r="N29" i="9"/>
  <c r="P32" i="9"/>
  <c r="P25" i="9"/>
  <c r="K827" i="8"/>
  <c r="K824" i="8"/>
  <c r="K821" i="8"/>
  <c r="M391" i="8"/>
  <c r="M389" i="8" s="1"/>
  <c r="P389" i="8" s="1"/>
  <c r="L404" i="8"/>
  <c r="O404" i="8" s="1"/>
  <c r="K826" i="8"/>
  <c r="K823" i="8"/>
  <c r="K720" i="8"/>
  <c r="L155" i="8"/>
  <c r="O155" i="8" s="1"/>
  <c r="L152" i="8"/>
  <c r="O152" i="8" s="1"/>
  <c r="L55" i="8"/>
  <c r="L53" i="8" s="1"/>
  <c r="P333" i="7"/>
  <c r="P407" i="8"/>
  <c r="L231" i="8"/>
  <c r="K86" i="8"/>
  <c r="L43" i="8"/>
  <c r="L41" i="8" s="1"/>
  <c r="M472" i="7"/>
  <c r="P472" i="7" s="1"/>
  <c r="M660" i="8"/>
  <c r="M658" i="8" s="1"/>
  <c r="I434" i="8"/>
  <c r="K434" i="8" s="1"/>
  <c r="L421" i="8"/>
  <c r="L419" i="8" s="1"/>
  <c r="O350" i="8"/>
  <c r="M300" i="8"/>
  <c r="M298" i="8" s="1"/>
  <c r="J288" i="8"/>
  <c r="J275" i="8" s="1"/>
  <c r="K275" i="8" s="1"/>
  <c r="O49" i="8"/>
  <c r="L229" i="8"/>
  <c r="K174" i="8"/>
  <c r="K726" i="8"/>
  <c r="O410" i="8"/>
  <c r="K338" i="8"/>
  <c r="L249" i="8"/>
  <c r="O249" i="8" s="1"/>
  <c r="L217" i="8"/>
  <c r="O217" i="8" s="1"/>
  <c r="L198" i="8"/>
  <c r="O198" i="8" s="1"/>
  <c r="O46" i="8"/>
  <c r="M395" i="8"/>
  <c r="P395" i="8" s="1"/>
  <c r="M151" i="8"/>
  <c r="M149" i="8" s="1"/>
  <c r="P149" i="8" s="1"/>
  <c r="K379" i="6"/>
  <c r="K362" i="7"/>
  <c r="O74" i="7"/>
  <c r="K725" i="8"/>
  <c r="K385" i="8"/>
  <c r="K381" i="8"/>
  <c r="I233" i="8"/>
  <c r="K233" i="8" s="1"/>
  <c r="L209" i="8"/>
  <c r="O209" i="8" s="1"/>
  <c r="N167" i="8"/>
  <c r="N165" i="8" s="1"/>
  <c r="P137" i="8"/>
  <c r="J364" i="8"/>
  <c r="P151" i="8"/>
  <c r="I559" i="8"/>
  <c r="I543" i="8" s="1"/>
  <c r="K543" i="8" s="1"/>
  <c r="I260" i="8"/>
  <c r="K260" i="8" s="1"/>
  <c r="L183" i="8"/>
  <c r="L181" i="8" s="1"/>
  <c r="M55" i="8"/>
  <c r="M53" i="8" s="1"/>
  <c r="P771" i="8"/>
  <c r="L754" i="8"/>
  <c r="O754" i="8" s="1"/>
  <c r="M737" i="8"/>
  <c r="P737" i="8" s="1"/>
  <c r="J722" i="8"/>
  <c r="K722" i="8" s="1"/>
  <c r="K708" i="8"/>
  <c r="M523" i="8"/>
  <c r="P523" i="8" s="1"/>
  <c r="O503" i="8"/>
  <c r="O407" i="8"/>
  <c r="N391" i="8"/>
  <c r="N389" i="8" s="1"/>
  <c r="M392" i="8"/>
  <c r="P392" i="8" s="1"/>
  <c r="K379" i="8"/>
  <c r="K340" i="8"/>
  <c r="O336" i="8"/>
  <c r="P333" i="8"/>
  <c r="O285" i="8"/>
  <c r="O269" i="8"/>
  <c r="O266" i="8"/>
  <c r="K236" i="8"/>
  <c r="I216" i="8"/>
  <c r="K216" i="8" s="1"/>
  <c r="J164" i="8"/>
  <c r="L135" i="8"/>
  <c r="O135" i="8" s="1"/>
  <c r="K100" i="8"/>
  <c r="J87" i="8"/>
  <c r="K87" i="8" s="1"/>
  <c r="O74" i="8"/>
  <c r="N43" i="8"/>
  <c r="O43" i="8" s="1"/>
  <c r="L44" i="8"/>
  <c r="O44" i="8" s="1"/>
  <c r="K176" i="7"/>
  <c r="J593" i="8"/>
  <c r="N544" i="8"/>
  <c r="L469" i="8"/>
  <c r="O469" i="8" s="1"/>
  <c r="L405" i="8"/>
  <c r="O405" i="8" s="1"/>
  <c r="K374" i="8"/>
  <c r="O333" i="8"/>
  <c r="M263" i="8"/>
  <c r="K244" i="8"/>
  <c r="M134" i="8"/>
  <c r="P134" i="8" s="1"/>
  <c r="L121" i="8"/>
  <c r="O121" i="8" s="1"/>
  <c r="N121" i="8"/>
  <c r="N119" i="8" s="1"/>
  <c r="P96" i="8"/>
  <c r="P44" i="8"/>
  <c r="M29" i="8"/>
  <c r="P29" i="8" s="1"/>
  <c r="P91" i="7"/>
  <c r="L789" i="8"/>
  <c r="O789" i="8" s="1"/>
  <c r="P755" i="8"/>
  <c r="O641" i="8"/>
  <c r="O535" i="8"/>
  <c r="M502" i="8"/>
  <c r="P502" i="8" s="1"/>
  <c r="O468" i="8"/>
  <c r="K438" i="8"/>
  <c r="L422" i="8"/>
  <c r="O422" i="8" s="1"/>
  <c r="J327" i="8"/>
  <c r="K327" i="8" s="1"/>
  <c r="K255" i="8"/>
  <c r="N227" i="8"/>
  <c r="O189" i="8"/>
  <c r="O170" i="8"/>
  <c r="N168" i="8"/>
  <c r="L134" i="8"/>
  <c r="L132" i="8" s="1"/>
  <c r="O132" i="8" s="1"/>
  <c r="O127" i="8"/>
  <c r="O71" i="8"/>
  <c r="M805" i="8"/>
  <c r="P805" i="8" s="1"/>
  <c r="L737" i="8"/>
  <c r="O737" i="8" s="1"/>
  <c r="J537" i="8"/>
  <c r="J522" i="8" s="1"/>
  <c r="P316" i="8"/>
  <c r="N183" i="8"/>
  <c r="P184" i="8"/>
  <c r="M167" i="8"/>
  <c r="L151" i="8"/>
  <c r="O151" i="8" s="1"/>
  <c r="P140" i="8"/>
  <c r="M90" i="8"/>
  <c r="M88" i="8" s="1"/>
  <c r="N68" i="8"/>
  <c r="N66" i="8" s="1"/>
  <c r="L69" i="8"/>
  <c r="O69" i="8" s="1"/>
  <c r="P61" i="8"/>
  <c r="M56" i="8"/>
  <c r="K372" i="7"/>
  <c r="K369" i="7"/>
  <c r="L770" i="8"/>
  <c r="O770" i="8" s="1"/>
  <c r="J721" i="8"/>
  <c r="K721" i="8" s="1"/>
  <c r="K669" i="8"/>
  <c r="O479" i="8"/>
  <c r="P410" i="8"/>
  <c r="O353" i="8"/>
  <c r="O331" i="8"/>
  <c r="M317" i="8"/>
  <c r="P317" i="8" s="1"/>
  <c r="J226" i="8"/>
  <c r="J180" i="8" s="1"/>
  <c r="I237" i="8"/>
  <c r="I226" i="8" s="1"/>
  <c r="I180" i="8" s="1"/>
  <c r="K180" i="8" s="1"/>
  <c r="P170" i="8"/>
  <c r="O124" i="8"/>
  <c r="P58" i="8"/>
  <c r="I260" i="7"/>
  <c r="K260" i="7" s="1"/>
  <c r="K271" i="7"/>
  <c r="M152" i="7"/>
  <c r="P152" i="7" s="1"/>
  <c r="P154" i="7"/>
  <c r="K593" i="8"/>
  <c r="J592" i="8"/>
  <c r="K592" i="8" s="1"/>
  <c r="L687" i="8"/>
  <c r="O690" i="8"/>
  <c r="L688" i="8"/>
  <c r="O688" i="8" s="1"/>
  <c r="M690" i="8"/>
  <c r="N786" i="8"/>
  <c r="K594" i="8"/>
  <c r="M424" i="7"/>
  <c r="P424" i="7" s="1"/>
  <c r="L422" i="7"/>
  <c r="I216" i="7"/>
  <c r="K216" i="7" s="1"/>
  <c r="K224" i="7"/>
  <c r="L786" i="8"/>
  <c r="O786" i="8" s="1"/>
  <c r="L446" i="8"/>
  <c r="P282" i="8"/>
  <c r="N280" i="8"/>
  <c r="K385" i="7"/>
  <c r="K174" i="7"/>
  <c r="O806" i="8"/>
  <c r="P738" i="8"/>
  <c r="K672" i="8"/>
  <c r="O660" i="8"/>
  <c r="L632" i="8"/>
  <c r="O632" i="8" s="1"/>
  <c r="O549" i="8"/>
  <c r="L470" i="8"/>
  <c r="O470" i="8" s="1"/>
  <c r="K462" i="8"/>
  <c r="O456" i="8"/>
  <c r="M449" i="8"/>
  <c r="L392" i="8"/>
  <c r="O392" i="8" s="1"/>
  <c r="K325" i="8"/>
  <c r="O282" i="8"/>
  <c r="I143" i="8"/>
  <c r="J143" i="8"/>
  <c r="J131" i="8" s="1"/>
  <c r="P127" i="8"/>
  <c r="M125" i="8"/>
  <c r="P125" i="8" s="1"/>
  <c r="I76" i="8"/>
  <c r="M69" i="8"/>
  <c r="P69" i="8" s="1"/>
  <c r="P71" i="8"/>
  <c r="M23" i="8"/>
  <c r="M68" i="8"/>
  <c r="O35" i="8"/>
  <c r="L29" i="8"/>
  <c r="L391" i="8"/>
  <c r="O391" i="8" s="1"/>
  <c r="K355" i="7"/>
  <c r="N807" i="8"/>
  <c r="N805" i="8" s="1"/>
  <c r="O791" i="8"/>
  <c r="N788" i="8"/>
  <c r="O739" i="8"/>
  <c r="K675" i="8"/>
  <c r="N658" i="8"/>
  <c r="O658" i="8" s="1"/>
  <c r="O557" i="8"/>
  <c r="M549" i="8"/>
  <c r="N547" i="8"/>
  <c r="O547" i="8" s="1"/>
  <c r="L526" i="8"/>
  <c r="O526" i="8" s="1"/>
  <c r="P524" i="8"/>
  <c r="I522" i="8"/>
  <c r="K522" i="8" s="1"/>
  <c r="K460" i="8"/>
  <c r="L36" i="8"/>
  <c r="O36" i="8" s="1"/>
  <c r="O431" i="8"/>
  <c r="K365" i="8"/>
  <c r="I364" i="8"/>
  <c r="P353" i="8"/>
  <c r="N351" i="8"/>
  <c r="P351" i="8" s="1"/>
  <c r="L321" i="8"/>
  <c r="O321" i="8" s="1"/>
  <c r="P303" i="8"/>
  <c r="M301" i="8"/>
  <c r="P301" i="8" s="1"/>
  <c r="N300" i="8"/>
  <c r="N298" i="8" s="1"/>
  <c r="K215" i="8"/>
  <c r="I208" i="8"/>
  <c r="K208" i="8" s="1"/>
  <c r="P186" i="8"/>
  <c r="M183" i="8"/>
  <c r="M171" i="8"/>
  <c r="P171" i="8" s="1"/>
  <c r="M121" i="8"/>
  <c r="P121" i="8" s="1"/>
  <c r="I77" i="8"/>
  <c r="K79" i="8"/>
  <c r="N26" i="8"/>
  <c r="N59" i="8"/>
  <c r="N657" i="8"/>
  <c r="N655" i="8" s="1"/>
  <c r="O59" i="7"/>
  <c r="N772" i="8"/>
  <c r="N770" i="8" s="1"/>
  <c r="N756" i="8"/>
  <c r="N754" i="8" s="1"/>
  <c r="N739" i="8"/>
  <c r="N737" i="8" s="1"/>
  <c r="N687" i="8"/>
  <c r="N685" i="8" s="1"/>
  <c r="L657" i="8"/>
  <c r="O634" i="8"/>
  <c r="N631" i="8"/>
  <c r="N629" i="8" s="1"/>
  <c r="L546" i="8"/>
  <c r="N504" i="8"/>
  <c r="N502" i="8" s="1"/>
  <c r="O472" i="8"/>
  <c r="N469" i="8"/>
  <c r="N467" i="8" s="1"/>
  <c r="L33" i="8"/>
  <c r="M424" i="8"/>
  <c r="O424" i="8"/>
  <c r="L318" i="8"/>
  <c r="O318" i="8" s="1"/>
  <c r="O303" i="8"/>
  <c r="N279" i="8"/>
  <c r="N277" i="8" s="1"/>
  <c r="K98" i="8"/>
  <c r="O96" i="8"/>
  <c r="L94" i="8"/>
  <c r="O94" i="8" s="1"/>
  <c r="L90" i="8"/>
  <c r="L12" i="8"/>
  <c r="L19" i="8"/>
  <c r="O22" i="8"/>
  <c r="K159" i="8"/>
  <c r="I148" i="8"/>
  <c r="K148" i="8" s="1"/>
  <c r="O120" i="8"/>
  <c r="K674" i="8"/>
  <c r="I654" i="8"/>
  <c r="K654" i="8" s="1"/>
  <c r="O449" i="8"/>
  <c r="N419" i="8"/>
  <c r="L395" i="8"/>
  <c r="O395" i="8" s="1"/>
  <c r="P350" i="8"/>
  <c r="N348" i="8"/>
  <c r="O348" i="8" s="1"/>
  <c r="L317" i="8"/>
  <c r="O317" i="8" s="1"/>
  <c r="P269" i="8"/>
  <c r="M267" i="8"/>
  <c r="P267" i="8" s="1"/>
  <c r="N264" i="8"/>
  <c r="O264" i="8" s="1"/>
  <c r="O262" i="8"/>
  <c r="I190" i="8"/>
  <c r="K190" i="8" s="1"/>
  <c r="O173" i="8"/>
  <c r="L167" i="8"/>
  <c r="O167" i="8" s="1"/>
  <c r="O166" i="8"/>
  <c r="P89" i="8"/>
  <c r="O67" i="8"/>
  <c r="P15" i="8"/>
  <c r="L15" i="8"/>
  <c r="L525" i="8"/>
  <c r="P306" i="8"/>
  <c r="M304" i="8"/>
  <c r="P304" i="8" s="1"/>
  <c r="I197" i="8"/>
  <c r="K197" i="8" s="1"/>
  <c r="K204" i="8"/>
  <c r="N91" i="8"/>
  <c r="P91" i="8" s="1"/>
  <c r="P93" i="8"/>
  <c r="N90" i="8"/>
  <c r="O407" i="7"/>
  <c r="L209" i="7"/>
  <c r="O209" i="7" s="1"/>
  <c r="K673" i="8"/>
  <c r="L447" i="8"/>
  <c r="O447" i="8" s="1"/>
  <c r="P299" i="8"/>
  <c r="P266" i="8"/>
  <c r="M264" i="8"/>
  <c r="N151" i="8"/>
  <c r="N149" i="8" s="1"/>
  <c r="N152" i="8"/>
  <c r="K115" i="8"/>
  <c r="I112" i="8"/>
  <c r="K112" i="8" s="1"/>
  <c r="K435" i="8"/>
  <c r="J433" i="8"/>
  <c r="O420" i="8"/>
  <c r="N404" i="8"/>
  <c r="N402" i="8" s="1"/>
  <c r="P394" i="8"/>
  <c r="O390" i="8"/>
  <c r="M347" i="8"/>
  <c r="N330" i="8"/>
  <c r="N328" i="8" s="1"/>
  <c r="P320" i="8"/>
  <c r="O316" i="8"/>
  <c r="K309" i="8"/>
  <c r="L300" i="8"/>
  <c r="M279" i="8"/>
  <c r="L263" i="8"/>
  <c r="L238" i="8"/>
  <c r="L184" i="8"/>
  <c r="O184" i="8" s="1"/>
  <c r="P154" i="8"/>
  <c r="M152" i="8"/>
  <c r="P152" i="8" s="1"/>
  <c r="O93" i="8"/>
  <c r="L91" i="8"/>
  <c r="M34" i="8"/>
  <c r="P34" i="8" s="1"/>
  <c r="P36" i="8"/>
  <c r="N446" i="8"/>
  <c r="N444" i="8" s="1"/>
  <c r="M404" i="8"/>
  <c r="L347" i="8"/>
  <c r="M330" i="8"/>
  <c r="L304" i="8"/>
  <c r="O304" i="8" s="1"/>
  <c r="L301" i="8"/>
  <c r="O301" i="8" s="1"/>
  <c r="K287" i="8"/>
  <c r="M283" i="8"/>
  <c r="P283" i="8" s="1"/>
  <c r="L279" i="8"/>
  <c r="L230" i="8"/>
  <c r="M187" i="8"/>
  <c r="P187" i="8" s="1"/>
  <c r="O182" i="8"/>
  <c r="I130" i="8"/>
  <c r="K130" i="8" s="1"/>
  <c r="M72" i="8"/>
  <c r="P72" i="8" s="1"/>
  <c r="P74" i="8"/>
  <c r="O61" i="8"/>
  <c r="L26" i="8"/>
  <c r="L59" i="8"/>
  <c r="O59" i="8" s="1"/>
  <c r="N23" i="8"/>
  <c r="N21" i="8" s="1"/>
  <c r="N56" i="8"/>
  <c r="P54" i="8"/>
  <c r="N33" i="8"/>
  <c r="N421" i="8"/>
  <c r="L330" i="8"/>
  <c r="L328" i="8" s="1"/>
  <c r="N317" i="8"/>
  <c r="N315" i="8" s="1"/>
  <c r="M168" i="8"/>
  <c r="P157" i="8"/>
  <c r="M155" i="8"/>
  <c r="P155" i="8" s="1"/>
  <c r="P124" i="8"/>
  <c r="M122" i="8"/>
  <c r="P122" i="8" s="1"/>
  <c r="M47" i="8"/>
  <c r="P47" i="8" s="1"/>
  <c r="M26" i="8"/>
  <c r="M24" i="8" s="1"/>
  <c r="P49" i="8"/>
  <c r="N422" i="8"/>
  <c r="L228" i="8"/>
  <c r="O186" i="8"/>
  <c r="O58" i="8"/>
  <c r="L56" i="8"/>
  <c r="N55" i="8"/>
  <c r="N53" i="8" s="1"/>
  <c r="P46" i="8"/>
  <c r="O42" i="8"/>
  <c r="L23" i="8"/>
  <c r="L21" i="8" s="1"/>
  <c r="N19" i="8"/>
  <c r="N12" i="8"/>
  <c r="M19" i="8"/>
  <c r="M12" i="8"/>
  <c r="N34" i="8"/>
  <c r="M43" i="8"/>
  <c r="N29" i="8"/>
  <c r="P32" i="8"/>
  <c r="P25" i="8"/>
  <c r="K823" i="7"/>
  <c r="K381" i="7"/>
  <c r="K378" i="7"/>
  <c r="O336" i="7"/>
  <c r="P323" i="7"/>
  <c r="O320" i="7"/>
  <c r="O189" i="7"/>
  <c r="O168" i="7"/>
  <c r="P269" i="7"/>
  <c r="L229" i="7"/>
  <c r="K193" i="7"/>
  <c r="J722" i="7"/>
  <c r="K593" i="7"/>
  <c r="O397" i="7"/>
  <c r="K255" i="7"/>
  <c r="P127" i="7"/>
  <c r="K271" i="6"/>
  <c r="K379" i="7"/>
  <c r="L786" i="7"/>
  <c r="O786" i="7" s="1"/>
  <c r="K576" i="7"/>
  <c r="L525" i="7"/>
  <c r="O525" i="7" s="1"/>
  <c r="L446" i="7"/>
  <c r="O446" i="7" s="1"/>
  <c r="L183" i="7"/>
  <c r="L181" i="7" s="1"/>
  <c r="K100" i="7"/>
  <c r="K822" i="6"/>
  <c r="K822" i="7"/>
  <c r="L533" i="7"/>
  <c r="O533" i="7" s="1"/>
  <c r="N391" i="7"/>
  <c r="N389" i="7" s="1"/>
  <c r="P353" i="7"/>
  <c r="M171" i="7"/>
  <c r="P171" i="7" s="1"/>
  <c r="M167" i="7"/>
  <c r="M165" i="7" s="1"/>
  <c r="K827" i="7"/>
  <c r="K359" i="7"/>
  <c r="O353" i="7"/>
  <c r="M304" i="7"/>
  <c r="P304" i="7" s="1"/>
  <c r="M283" i="7"/>
  <c r="P283" i="7" s="1"/>
  <c r="O660" i="7"/>
  <c r="O528" i="7"/>
  <c r="N404" i="7"/>
  <c r="N402" i="7" s="1"/>
  <c r="L391" i="7"/>
  <c r="L389" i="7" s="1"/>
  <c r="O389" i="7" s="1"/>
  <c r="I364" i="7"/>
  <c r="L238" i="7"/>
  <c r="O238" i="7" s="1"/>
  <c r="O71" i="7"/>
  <c r="O791" i="7"/>
  <c r="M300" i="7"/>
  <c r="M298" i="7" s="1"/>
  <c r="P298" i="7" s="1"/>
  <c r="K215" i="7"/>
  <c r="K190" i="7"/>
  <c r="P93" i="7"/>
  <c r="N55" i="7"/>
  <c r="N53" i="7" s="1"/>
  <c r="K559" i="7"/>
  <c r="I543" i="7"/>
  <c r="K543" i="7" s="1"/>
  <c r="N469" i="7"/>
  <c r="N470" i="7"/>
  <c r="O472" i="7"/>
  <c r="K143" i="7"/>
  <c r="I131" i="7"/>
  <c r="K131" i="7" s="1"/>
  <c r="N467" i="7"/>
  <c r="I442" i="7"/>
  <c r="K442" i="7" s="1"/>
  <c r="L429" i="7"/>
  <c r="O429" i="7" s="1"/>
  <c r="K675" i="6"/>
  <c r="K146" i="6"/>
  <c r="K100" i="6"/>
  <c r="L68" i="6"/>
  <c r="L66" i="6" s="1"/>
  <c r="M805" i="7"/>
  <c r="P805" i="7" s="1"/>
  <c r="M786" i="7"/>
  <c r="P786" i="7" s="1"/>
  <c r="I785" i="7"/>
  <c r="K785" i="7" s="1"/>
  <c r="L737" i="7"/>
  <c r="O737" i="7" s="1"/>
  <c r="L657" i="7"/>
  <c r="O657" i="7" s="1"/>
  <c r="L555" i="7"/>
  <c r="O555" i="7" s="1"/>
  <c r="J537" i="7"/>
  <c r="J522" i="7" s="1"/>
  <c r="O470" i="7"/>
  <c r="K465" i="7"/>
  <c r="O424" i="7"/>
  <c r="L404" i="7"/>
  <c r="O404" i="7" s="1"/>
  <c r="K370" i="7"/>
  <c r="J327" i="7"/>
  <c r="K327" i="7" s="1"/>
  <c r="N330" i="7"/>
  <c r="N328" i="7" s="1"/>
  <c r="M331" i="7"/>
  <c r="P331" i="7" s="1"/>
  <c r="O306" i="7"/>
  <c r="M187" i="7"/>
  <c r="P187" i="7" s="1"/>
  <c r="M183" i="7"/>
  <c r="M155" i="7"/>
  <c r="P155" i="7" s="1"/>
  <c r="K145" i="7"/>
  <c r="M135" i="7"/>
  <c r="P135" i="7" s="1"/>
  <c r="M121" i="7"/>
  <c r="P121" i="7" s="1"/>
  <c r="N121" i="7"/>
  <c r="N119" i="7" s="1"/>
  <c r="I112" i="7"/>
  <c r="K112" i="7" s="1"/>
  <c r="K111" i="7"/>
  <c r="O93" i="7"/>
  <c r="L68" i="7"/>
  <c r="O68" i="7" s="1"/>
  <c r="N68" i="7"/>
  <c r="N66" i="7" s="1"/>
  <c r="O49" i="7"/>
  <c r="N807" i="7"/>
  <c r="N805" i="7" s="1"/>
  <c r="L770" i="7"/>
  <c r="O770" i="7" s="1"/>
  <c r="K594" i="7"/>
  <c r="M545" i="7"/>
  <c r="L447" i="7"/>
  <c r="O447" i="7" s="1"/>
  <c r="N347" i="7"/>
  <c r="N345" i="7" s="1"/>
  <c r="I130" i="7"/>
  <c r="K130" i="7" s="1"/>
  <c r="M151" i="6"/>
  <c r="M149" i="6" s="1"/>
  <c r="N786" i="7"/>
  <c r="K647" i="7"/>
  <c r="L546" i="7"/>
  <c r="L544" i="7" s="1"/>
  <c r="O410" i="7"/>
  <c r="O323" i="7"/>
  <c r="N321" i="7"/>
  <c r="L317" i="7"/>
  <c r="O317" i="7" s="1"/>
  <c r="N300" i="7"/>
  <c r="N298" i="7" s="1"/>
  <c r="L263" i="7"/>
  <c r="L261" i="7" s="1"/>
  <c r="L231" i="7"/>
  <c r="L151" i="7"/>
  <c r="O154" i="7"/>
  <c r="M90" i="7"/>
  <c r="M88" i="7" s="1"/>
  <c r="N90" i="7"/>
  <c r="N88" i="7" s="1"/>
  <c r="M55" i="7"/>
  <c r="L805" i="7"/>
  <c r="O805" i="7" s="1"/>
  <c r="L789" i="7"/>
  <c r="O789" i="7" s="1"/>
  <c r="M502" i="7"/>
  <c r="P502" i="7" s="1"/>
  <c r="L454" i="7"/>
  <c r="O454" i="7" s="1"/>
  <c r="M444" i="7"/>
  <c r="P444" i="7" s="1"/>
  <c r="K374" i="7"/>
  <c r="M263" i="7"/>
  <c r="M261" i="7" s="1"/>
  <c r="L230" i="7"/>
  <c r="L217" i="7"/>
  <c r="O217" i="7" s="1"/>
  <c r="I148" i="7"/>
  <c r="K148" i="7" s="1"/>
  <c r="P96" i="7"/>
  <c r="O91" i="7"/>
  <c r="O58" i="7"/>
  <c r="L43" i="7"/>
  <c r="L41" i="7" s="1"/>
  <c r="K98" i="6"/>
  <c r="K821" i="7"/>
  <c r="L754" i="7"/>
  <c r="O754" i="7" s="1"/>
  <c r="J721" i="7"/>
  <c r="K651" i="7"/>
  <c r="L631" i="7"/>
  <c r="O631" i="7" s="1"/>
  <c r="O394" i="7"/>
  <c r="N392" i="7"/>
  <c r="O350" i="7"/>
  <c r="K340" i="7"/>
  <c r="P320" i="7"/>
  <c r="I297" i="7"/>
  <c r="K297" i="7" s="1"/>
  <c r="M151" i="7"/>
  <c r="P151" i="7" s="1"/>
  <c r="O124" i="7"/>
  <c r="N547" i="7"/>
  <c r="O547" i="7" s="1"/>
  <c r="O549" i="7"/>
  <c r="N546" i="7"/>
  <c r="I417" i="7"/>
  <c r="N544" i="7"/>
  <c r="K669" i="7"/>
  <c r="K673" i="7"/>
  <c r="N523" i="7"/>
  <c r="L228" i="7"/>
  <c r="L249" i="7"/>
  <c r="O249" i="7" s="1"/>
  <c r="L525" i="6"/>
  <c r="O525" i="6" s="1"/>
  <c r="K365" i="6"/>
  <c r="K176" i="6"/>
  <c r="K828" i="7"/>
  <c r="P755" i="7"/>
  <c r="M737" i="7"/>
  <c r="P737" i="7" s="1"/>
  <c r="L687" i="7"/>
  <c r="O690" i="7"/>
  <c r="K674" i="7"/>
  <c r="N658" i="7"/>
  <c r="I654" i="7"/>
  <c r="K654" i="7" s="1"/>
  <c r="M634" i="7"/>
  <c r="K537" i="7"/>
  <c r="I522" i="7"/>
  <c r="K522" i="7" s="1"/>
  <c r="L502" i="7"/>
  <c r="O502" i="7" s="1"/>
  <c r="L469" i="7"/>
  <c r="O469" i="7" s="1"/>
  <c r="O445" i="7"/>
  <c r="K365" i="7"/>
  <c r="P348" i="7"/>
  <c r="K98" i="7"/>
  <c r="J86" i="7"/>
  <c r="L632" i="7"/>
  <c r="J433" i="7"/>
  <c r="J417" i="7" s="1"/>
  <c r="N167" i="7"/>
  <c r="N165" i="7" s="1"/>
  <c r="P170" i="7"/>
  <c r="K647" i="6"/>
  <c r="P124" i="6"/>
  <c r="O61" i="6"/>
  <c r="P771" i="7"/>
  <c r="L639" i="7"/>
  <c r="O639" i="7" s="1"/>
  <c r="J592" i="7"/>
  <c r="K592" i="7" s="1"/>
  <c r="N505" i="7"/>
  <c r="O479" i="7"/>
  <c r="P446" i="7"/>
  <c r="I434" i="7"/>
  <c r="K440" i="7"/>
  <c r="K435" i="7"/>
  <c r="N33" i="7"/>
  <c r="N422" i="7"/>
  <c r="M405" i="7"/>
  <c r="P405" i="7" s="1"/>
  <c r="J364" i="7"/>
  <c r="P336" i="7"/>
  <c r="M334" i="7"/>
  <c r="P334" i="7" s="1"/>
  <c r="L300" i="7"/>
  <c r="O300" i="7" s="1"/>
  <c r="O303" i="7"/>
  <c r="K594" i="6"/>
  <c r="O403" i="7"/>
  <c r="N526" i="7"/>
  <c r="L658" i="6"/>
  <c r="O658" i="6" s="1"/>
  <c r="K649" i="6"/>
  <c r="K824" i="7"/>
  <c r="O772" i="7"/>
  <c r="P686" i="7"/>
  <c r="K675" i="7"/>
  <c r="M655" i="7"/>
  <c r="P655" i="7" s="1"/>
  <c r="K628" i="7"/>
  <c r="P545" i="7"/>
  <c r="N446" i="7"/>
  <c r="N444" i="7" s="1"/>
  <c r="M408" i="7"/>
  <c r="P408" i="7" s="1"/>
  <c r="M404" i="7"/>
  <c r="K360" i="7"/>
  <c r="L351" i="7"/>
  <c r="O351" i="7" s="1"/>
  <c r="O316" i="7"/>
  <c r="N135" i="7"/>
  <c r="N134" i="7"/>
  <c r="N132" i="7" s="1"/>
  <c r="K672" i="7"/>
  <c r="M395" i="7"/>
  <c r="P395" i="7" s="1"/>
  <c r="P397" i="7"/>
  <c r="P346" i="7"/>
  <c r="N264" i="7"/>
  <c r="P264" i="7" s="1"/>
  <c r="P266" i="7"/>
  <c r="N263" i="7"/>
  <c r="O266" i="7"/>
  <c r="O634" i="7"/>
  <c r="N632" i="7"/>
  <c r="M523" i="7"/>
  <c r="P523" i="7" s="1"/>
  <c r="M392" i="7"/>
  <c r="P392" i="7" s="1"/>
  <c r="M391" i="7"/>
  <c r="O333" i="7"/>
  <c r="L331" i="7"/>
  <c r="O331" i="7" s="1"/>
  <c r="L330" i="7"/>
  <c r="M351" i="7"/>
  <c r="P351" i="7" s="1"/>
  <c r="M301" i="7"/>
  <c r="P301" i="7" s="1"/>
  <c r="L280" i="7"/>
  <c r="O280" i="7" s="1"/>
  <c r="K144" i="7"/>
  <c r="J143" i="7"/>
  <c r="J131" i="7" s="1"/>
  <c r="P120" i="7"/>
  <c r="L94" i="7"/>
  <c r="O94" i="7" s="1"/>
  <c r="O96" i="7"/>
  <c r="O35" i="7"/>
  <c r="L29" i="7"/>
  <c r="M549" i="7"/>
  <c r="K462" i="7"/>
  <c r="P350" i="7"/>
  <c r="M347" i="7"/>
  <c r="M317" i="7"/>
  <c r="P317" i="7" s="1"/>
  <c r="I314" i="7"/>
  <c r="K314" i="7" s="1"/>
  <c r="I275" i="7"/>
  <c r="K275" i="7" s="1"/>
  <c r="K288" i="7"/>
  <c r="L283" i="7"/>
  <c r="O283" i="7" s="1"/>
  <c r="M279" i="7"/>
  <c r="I276" i="7"/>
  <c r="K276" i="7" s="1"/>
  <c r="O269" i="7"/>
  <c r="P186" i="7"/>
  <c r="J164" i="7"/>
  <c r="K164" i="7" s="1"/>
  <c r="P168" i="7"/>
  <c r="P166" i="7"/>
  <c r="L155" i="7"/>
  <c r="O155" i="7" s="1"/>
  <c r="M72" i="7"/>
  <c r="P72" i="7" s="1"/>
  <c r="P74" i="7"/>
  <c r="N23" i="7"/>
  <c r="N21" i="7" s="1"/>
  <c r="L36" i="7"/>
  <c r="O36" i="7" s="1"/>
  <c r="L33" i="7"/>
  <c r="L421" i="7"/>
  <c r="L347" i="7"/>
  <c r="P316" i="7"/>
  <c r="P303" i="7"/>
  <c r="P282" i="7"/>
  <c r="L279" i="7"/>
  <c r="O279" i="7" s="1"/>
  <c r="I233" i="7"/>
  <c r="K233" i="7" s="1"/>
  <c r="N183" i="7"/>
  <c r="N181" i="7" s="1"/>
  <c r="N184" i="7"/>
  <c r="O184" i="7" s="1"/>
  <c r="O173" i="7"/>
  <c r="P150" i="7"/>
  <c r="O140" i="7"/>
  <c r="L134" i="7"/>
  <c r="L135" i="7"/>
  <c r="O135" i="7" s="1"/>
  <c r="L90" i="7"/>
  <c r="I77" i="7"/>
  <c r="O67" i="7"/>
  <c r="L12" i="7"/>
  <c r="L19" i="7"/>
  <c r="O22" i="7"/>
  <c r="N279" i="7"/>
  <c r="N277" i="7" s="1"/>
  <c r="N280" i="7"/>
  <c r="K244" i="7"/>
  <c r="K204" i="7"/>
  <c r="P182" i="7"/>
  <c r="M23" i="7"/>
  <c r="P15" i="7"/>
  <c r="L15" i="7"/>
  <c r="L348" i="7"/>
  <c r="O348" i="7" s="1"/>
  <c r="M330" i="7"/>
  <c r="I226" i="7"/>
  <c r="K226" i="7" s="1"/>
  <c r="K237" i="7"/>
  <c r="K208" i="7"/>
  <c r="L167" i="7"/>
  <c r="N152" i="7"/>
  <c r="N151" i="7"/>
  <c r="N149" i="7" s="1"/>
  <c r="M138" i="7"/>
  <c r="P138" i="7" s="1"/>
  <c r="M134" i="7"/>
  <c r="K86" i="7"/>
  <c r="K80" i="7"/>
  <c r="I76" i="7"/>
  <c r="O186" i="7"/>
  <c r="O170" i="7"/>
  <c r="O127" i="7"/>
  <c r="L121" i="7"/>
  <c r="K115" i="7"/>
  <c r="M68" i="7"/>
  <c r="P68" i="7" s="1"/>
  <c r="P61" i="7"/>
  <c r="M34" i="7"/>
  <c r="P34" i="7" s="1"/>
  <c r="P36" i="7"/>
  <c r="K99" i="7"/>
  <c r="P59" i="7"/>
  <c r="P54" i="7"/>
  <c r="L26" i="7"/>
  <c r="L24" i="7" s="1"/>
  <c r="M69" i="7"/>
  <c r="P69" i="7" s="1"/>
  <c r="P71" i="7"/>
  <c r="P29" i="7"/>
  <c r="L198" i="7"/>
  <c r="O198" i="7" s="1"/>
  <c r="K87" i="7"/>
  <c r="O61" i="7"/>
  <c r="P58" i="7"/>
  <c r="N56" i="7"/>
  <c r="P56" i="7" s="1"/>
  <c r="P49" i="7"/>
  <c r="P46" i="7"/>
  <c r="O42" i="7"/>
  <c r="L23" i="7"/>
  <c r="L21" i="7" s="1"/>
  <c r="N19" i="7"/>
  <c r="N12" i="7"/>
  <c r="L55" i="7"/>
  <c r="O46" i="7"/>
  <c r="N26" i="7"/>
  <c r="M19" i="7"/>
  <c r="M12" i="7"/>
  <c r="L56" i="7"/>
  <c r="O56" i="7" s="1"/>
  <c r="N43" i="7"/>
  <c r="N41" i="7" s="1"/>
  <c r="N34" i="7"/>
  <c r="M26" i="7"/>
  <c r="N44" i="7"/>
  <c r="P44" i="7" s="1"/>
  <c r="M43" i="7"/>
  <c r="N29" i="7"/>
  <c r="P32" i="7"/>
  <c r="P25" i="7"/>
  <c r="L228" i="6"/>
  <c r="K673" i="5"/>
  <c r="P320" i="6"/>
  <c r="K244" i="6"/>
  <c r="L632" i="6"/>
  <c r="O632" i="6" s="1"/>
  <c r="K466" i="6"/>
  <c r="O397" i="6"/>
  <c r="K359" i="6"/>
  <c r="O269" i="6"/>
  <c r="P170" i="6"/>
  <c r="K821" i="6"/>
  <c r="J722" i="6"/>
  <c r="K722" i="6" s="1"/>
  <c r="K465" i="6"/>
  <c r="L404" i="6"/>
  <c r="O404" i="6" s="1"/>
  <c r="K385" i="6"/>
  <c r="K370" i="6"/>
  <c r="K309" i="6"/>
  <c r="P69" i="6"/>
  <c r="I131" i="6"/>
  <c r="K131" i="6" s="1"/>
  <c r="K143" i="6"/>
  <c r="K828" i="6"/>
  <c r="K825" i="6"/>
  <c r="K673" i="6"/>
  <c r="K435" i="6"/>
  <c r="O394" i="6"/>
  <c r="K372" i="6"/>
  <c r="I364" i="6"/>
  <c r="N330" i="6"/>
  <c r="N328" i="6" s="1"/>
  <c r="P333" i="6"/>
  <c r="N263" i="6"/>
  <c r="N261" i="6" s="1"/>
  <c r="L209" i="6"/>
  <c r="O209" i="6" s="1"/>
  <c r="K174" i="6"/>
  <c r="K145" i="6"/>
  <c r="K723" i="6"/>
  <c r="O690" i="6"/>
  <c r="O407" i="6"/>
  <c r="K340" i="6"/>
  <c r="K800" i="6"/>
  <c r="K708" i="6"/>
  <c r="M660" i="6"/>
  <c r="M658" i="6" s="1"/>
  <c r="P658" i="6" s="1"/>
  <c r="L631" i="6"/>
  <c r="O631" i="6" s="1"/>
  <c r="O557" i="6"/>
  <c r="I434" i="6"/>
  <c r="I418" i="6" s="1"/>
  <c r="K418" i="6" s="1"/>
  <c r="J433" i="6"/>
  <c r="J417" i="6" s="1"/>
  <c r="L391" i="6"/>
  <c r="O391" i="6" s="1"/>
  <c r="K355" i="6"/>
  <c r="L229" i="6"/>
  <c r="K159" i="6"/>
  <c r="M135" i="6"/>
  <c r="P135" i="6" s="1"/>
  <c r="P93" i="6"/>
  <c r="L304" i="5"/>
  <c r="O304" i="5" s="1"/>
  <c r="O320" i="6"/>
  <c r="L198" i="6"/>
  <c r="O198" i="6" s="1"/>
  <c r="O74" i="6"/>
  <c r="K826" i="6"/>
  <c r="K823" i="6"/>
  <c r="K674" i="6"/>
  <c r="K378" i="6"/>
  <c r="O331" i="6"/>
  <c r="O657" i="6"/>
  <c r="N655" i="6"/>
  <c r="M421" i="6"/>
  <c r="M419" i="6" s="1"/>
  <c r="P424" i="6"/>
  <c r="K729" i="4"/>
  <c r="K824" i="6"/>
  <c r="J721" i="6"/>
  <c r="K721" i="6" s="1"/>
  <c r="K720" i="6"/>
  <c r="O660" i="6"/>
  <c r="N658" i="6"/>
  <c r="L655" i="6"/>
  <c r="N632" i="6"/>
  <c r="K537" i="6"/>
  <c r="P503" i="6"/>
  <c r="P351" i="6"/>
  <c r="M347" i="6"/>
  <c r="M345" i="6" s="1"/>
  <c r="O333" i="6"/>
  <c r="P301" i="6"/>
  <c r="P285" i="6"/>
  <c r="L283" i="6"/>
  <c r="O283" i="6" s="1"/>
  <c r="M279" i="6"/>
  <c r="P279" i="6" s="1"/>
  <c r="I276" i="6"/>
  <c r="K276" i="6" s="1"/>
  <c r="O266" i="6"/>
  <c r="K224" i="6"/>
  <c r="K190" i="6"/>
  <c r="M187" i="6"/>
  <c r="P187" i="6" s="1"/>
  <c r="M155" i="6"/>
  <c r="P155" i="6" s="1"/>
  <c r="M152" i="6"/>
  <c r="M125" i="6"/>
  <c r="P125" i="6" s="1"/>
  <c r="O96" i="6"/>
  <c r="L69" i="6"/>
  <c r="O69" i="6" s="1"/>
  <c r="N770" i="6"/>
  <c r="K628" i="6"/>
  <c r="L546" i="6"/>
  <c r="O546" i="6" s="1"/>
  <c r="N502" i="6"/>
  <c r="L446" i="6"/>
  <c r="O446" i="6" s="1"/>
  <c r="L447" i="6"/>
  <c r="O447" i="6" s="1"/>
  <c r="L422" i="6"/>
  <c r="O350" i="6"/>
  <c r="O301" i="6"/>
  <c r="K255" i="6"/>
  <c r="K216" i="6"/>
  <c r="K193" i="6"/>
  <c r="L134" i="6"/>
  <c r="O134" i="6" s="1"/>
  <c r="L125" i="6"/>
  <c r="O125" i="6" s="1"/>
  <c r="M94" i="6"/>
  <c r="P94" i="6" s="1"/>
  <c r="M55" i="6"/>
  <c r="M53" i="6" s="1"/>
  <c r="M29" i="6"/>
  <c r="P29" i="6" s="1"/>
  <c r="P323" i="5"/>
  <c r="N737" i="6"/>
  <c r="K701" i="6"/>
  <c r="I654" i="6"/>
  <c r="K654" i="6" s="1"/>
  <c r="P634" i="6"/>
  <c r="N523" i="6"/>
  <c r="M408" i="6"/>
  <c r="P408" i="6" s="1"/>
  <c r="P397" i="6"/>
  <c r="O323" i="6"/>
  <c r="M263" i="6"/>
  <c r="L263" i="6"/>
  <c r="L261" i="6" s="1"/>
  <c r="L90" i="6"/>
  <c r="L88" i="6" s="1"/>
  <c r="J86" i="6"/>
  <c r="K86" i="6" s="1"/>
  <c r="L43" i="6"/>
  <c r="L41" i="6" s="1"/>
  <c r="N330" i="5"/>
  <c r="N328" i="5" s="1"/>
  <c r="M317" i="5"/>
  <c r="M315" i="5" s="1"/>
  <c r="P173" i="5"/>
  <c r="N151" i="5"/>
  <c r="N149" i="5" s="1"/>
  <c r="P788" i="6"/>
  <c r="L770" i="6"/>
  <c r="O770" i="6" s="1"/>
  <c r="O634" i="6"/>
  <c r="P555" i="6"/>
  <c r="O528" i="6"/>
  <c r="N526" i="6"/>
  <c r="K438" i="6"/>
  <c r="L317" i="6"/>
  <c r="O317" i="6" s="1"/>
  <c r="M317" i="6"/>
  <c r="P317" i="6" s="1"/>
  <c r="I314" i="6"/>
  <c r="K314" i="6" s="1"/>
  <c r="P306" i="6"/>
  <c r="P269" i="6"/>
  <c r="N227" i="6"/>
  <c r="M171" i="6"/>
  <c r="P171" i="6" s="1"/>
  <c r="M90" i="6"/>
  <c r="M88" i="6" s="1"/>
  <c r="N788" i="6"/>
  <c r="N786" i="6" s="1"/>
  <c r="K725" i="6"/>
  <c r="K700" i="6"/>
  <c r="N547" i="6"/>
  <c r="N444" i="6"/>
  <c r="K362" i="6"/>
  <c r="P353" i="6"/>
  <c r="P350" i="6"/>
  <c r="M348" i="6"/>
  <c r="P348" i="6" s="1"/>
  <c r="O303" i="6"/>
  <c r="L231" i="6"/>
  <c r="J226" i="6"/>
  <c r="J180" i="6" s="1"/>
  <c r="L217" i="6"/>
  <c r="O217" i="6" s="1"/>
  <c r="K215" i="6"/>
  <c r="M167" i="6"/>
  <c r="M165" i="6" s="1"/>
  <c r="O140" i="6"/>
  <c r="M121" i="6"/>
  <c r="P121" i="6" s="1"/>
  <c r="O49" i="6"/>
  <c r="N34" i="6"/>
  <c r="P336" i="5"/>
  <c r="L805" i="6"/>
  <c r="O805" i="6" s="1"/>
  <c r="L526" i="6"/>
  <c r="O526" i="6" s="1"/>
  <c r="M334" i="6"/>
  <c r="P334" i="6" s="1"/>
  <c r="N300" i="6"/>
  <c r="N298" i="6" s="1"/>
  <c r="L249" i="6"/>
  <c r="O249" i="6" s="1"/>
  <c r="O71" i="6"/>
  <c r="M56" i="6"/>
  <c r="O46" i="6"/>
  <c r="L44" i="6"/>
  <c r="M15" i="6"/>
  <c r="L15" i="6"/>
  <c r="O15" i="6" s="1"/>
  <c r="P690" i="6"/>
  <c r="M687" i="6"/>
  <c r="M688" i="6"/>
  <c r="P688" i="6" s="1"/>
  <c r="L547" i="6"/>
  <c r="O547" i="6" s="1"/>
  <c r="L36" i="6"/>
  <c r="O36" i="6" s="1"/>
  <c r="L429" i="6"/>
  <c r="O429" i="6" s="1"/>
  <c r="O431" i="6"/>
  <c r="K827" i="4"/>
  <c r="K435" i="5"/>
  <c r="N688" i="6"/>
  <c r="L687" i="6"/>
  <c r="O687" i="6" s="1"/>
  <c r="O641" i="6"/>
  <c r="M632" i="6"/>
  <c r="P632" i="6" s="1"/>
  <c r="I559" i="6"/>
  <c r="M549" i="6"/>
  <c r="L533" i="6"/>
  <c r="O533" i="6" s="1"/>
  <c r="L477" i="6"/>
  <c r="O477" i="6" s="1"/>
  <c r="O479" i="6"/>
  <c r="P468" i="6"/>
  <c r="I443" i="6"/>
  <c r="K443" i="6" s="1"/>
  <c r="N391" i="6"/>
  <c r="N389" i="6" s="1"/>
  <c r="L422" i="5"/>
  <c r="N773" i="6"/>
  <c r="P756" i="6"/>
  <c r="N740" i="6"/>
  <c r="L688" i="6"/>
  <c r="O688" i="6" s="1"/>
  <c r="O656" i="6"/>
  <c r="L639" i="6"/>
  <c r="O639" i="6" s="1"/>
  <c r="O472" i="6"/>
  <c r="L470" i="6"/>
  <c r="O470" i="6" s="1"/>
  <c r="M472" i="6"/>
  <c r="N469" i="6"/>
  <c r="N467" i="6" s="1"/>
  <c r="I417" i="6"/>
  <c r="N629" i="6"/>
  <c r="O445" i="6"/>
  <c r="K369" i="5"/>
  <c r="O791" i="6"/>
  <c r="K699" i="6"/>
  <c r="K651" i="6"/>
  <c r="K593" i="6"/>
  <c r="J537" i="6"/>
  <c r="J522" i="6" s="1"/>
  <c r="O524" i="6"/>
  <c r="M523" i="6"/>
  <c r="P523" i="6" s="1"/>
  <c r="L502" i="6"/>
  <c r="O502" i="6" s="1"/>
  <c r="O503" i="6"/>
  <c r="L469" i="6"/>
  <c r="M444" i="6"/>
  <c r="P444" i="6" s="1"/>
  <c r="N33" i="6"/>
  <c r="N422" i="6"/>
  <c r="N421" i="6"/>
  <c r="N419" i="6" s="1"/>
  <c r="O424" i="6"/>
  <c r="O410" i="6"/>
  <c r="L408" i="6"/>
  <c r="O408" i="6" s="1"/>
  <c r="M34" i="6"/>
  <c r="P34" i="6" s="1"/>
  <c r="P36" i="6"/>
  <c r="K460" i="6"/>
  <c r="I442" i="6"/>
  <c r="K442" i="6" s="1"/>
  <c r="O124" i="6"/>
  <c r="L122" i="6"/>
  <c r="O122" i="6" s="1"/>
  <c r="N807" i="6"/>
  <c r="N805" i="6" s="1"/>
  <c r="L788" i="6"/>
  <c r="O771" i="6"/>
  <c r="L754" i="6"/>
  <c r="O754" i="6" s="1"/>
  <c r="O738" i="6"/>
  <c r="K669" i="6"/>
  <c r="M631" i="6"/>
  <c r="O549" i="6"/>
  <c r="L454" i="6"/>
  <c r="O454" i="6" s="1"/>
  <c r="O456" i="6"/>
  <c r="P407" i="6"/>
  <c r="M404" i="6"/>
  <c r="M405" i="6"/>
  <c r="P405" i="6" s="1"/>
  <c r="M392" i="6"/>
  <c r="P392" i="6" s="1"/>
  <c r="M391" i="6"/>
  <c r="P394" i="6"/>
  <c r="O346" i="6"/>
  <c r="L330" i="6"/>
  <c r="O336" i="6"/>
  <c r="L334" i="6"/>
  <c r="O334" i="6" s="1"/>
  <c r="N318" i="6"/>
  <c r="N317" i="6"/>
  <c r="N315" i="6" s="1"/>
  <c r="L300" i="6"/>
  <c r="O306" i="6"/>
  <c r="M184" i="6"/>
  <c r="P186" i="6"/>
  <c r="M183" i="6"/>
  <c r="M181" i="6" s="1"/>
  <c r="M138" i="6"/>
  <c r="P138" i="6" s="1"/>
  <c r="O545" i="6"/>
  <c r="K651" i="4"/>
  <c r="K576" i="4"/>
  <c r="P772" i="6"/>
  <c r="N757" i="6"/>
  <c r="P739" i="6"/>
  <c r="K592" i="6"/>
  <c r="N404" i="6"/>
  <c r="N402" i="6" s="1"/>
  <c r="K381" i="6"/>
  <c r="J374" i="6"/>
  <c r="K374" i="6" s="1"/>
  <c r="J327" i="6"/>
  <c r="K327" i="6" s="1"/>
  <c r="K338" i="6"/>
  <c r="I275" i="6"/>
  <c r="K275" i="6" s="1"/>
  <c r="K288" i="6"/>
  <c r="J288" i="6"/>
  <c r="J275" i="6" s="1"/>
  <c r="O278" i="6"/>
  <c r="I197" i="6"/>
  <c r="K197" i="6" s="1"/>
  <c r="K204" i="6"/>
  <c r="P182" i="6"/>
  <c r="N152" i="6"/>
  <c r="N151" i="6"/>
  <c r="O154" i="6"/>
  <c r="P154" i="6"/>
  <c r="M134" i="6"/>
  <c r="L121" i="6"/>
  <c r="K360" i="6"/>
  <c r="O353" i="6"/>
  <c r="L351" i="6"/>
  <c r="O351" i="6" s="1"/>
  <c r="N347" i="6"/>
  <c r="N345" i="6" s="1"/>
  <c r="N334" i="6"/>
  <c r="M331" i="6"/>
  <c r="P331" i="6" s="1"/>
  <c r="P323" i="6"/>
  <c r="N264" i="6"/>
  <c r="P264" i="6" s="1"/>
  <c r="P266" i="6"/>
  <c r="L230" i="6"/>
  <c r="L238" i="6"/>
  <c r="N183" i="6"/>
  <c r="N181" i="6" s="1"/>
  <c r="N184" i="6"/>
  <c r="O184" i="6" s="1"/>
  <c r="O173" i="6"/>
  <c r="N134" i="6"/>
  <c r="N132" i="6" s="1"/>
  <c r="L91" i="6"/>
  <c r="O93" i="6"/>
  <c r="M422" i="6"/>
  <c r="P422" i="6" s="1"/>
  <c r="K369" i="6"/>
  <c r="L347" i="6"/>
  <c r="P316" i="6"/>
  <c r="P303" i="6"/>
  <c r="P282" i="6"/>
  <c r="L279" i="6"/>
  <c r="O279" i="6" s="1"/>
  <c r="I233" i="6"/>
  <c r="K233" i="6" s="1"/>
  <c r="O189" i="6"/>
  <c r="L167" i="6"/>
  <c r="O157" i="6"/>
  <c r="K144" i="6"/>
  <c r="J143" i="6"/>
  <c r="J131" i="6" s="1"/>
  <c r="O137" i="6"/>
  <c r="I76" i="6"/>
  <c r="N23" i="6"/>
  <c r="N21" i="6" s="1"/>
  <c r="M300" i="6"/>
  <c r="N279" i="6"/>
  <c r="N277" i="6" s="1"/>
  <c r="N280" i="6"/>
  <c r="L26" i="6"/>
  <c r="L12" i="6"/>
  <c r="L19" i="6"/>
  <c r="O22" i="6"/>
  <c r="L348" i="6"/>
  <c r="O348" i="6" s="1"/>
  <c r="M330" i="6"/>
  <c r="K260" i="6"/>
  <c r="I226" i="6"/>
  <c r="K226" i="6" s="1"/>
  <c r="K237" i="6"/>
  <c r="L183" i="6"/>
  <c r="N167" i="6"/>
  <c r="N165" i="6" s="1"/>
  <c r="N168" i="6"/>
  <c r="O168" i="6" s="1"/>
  <c r="L151" i="6"/>
  <c r="P120" i="6"/>
  <c r="I87" i="6"/>
  <c r="K87" i="6" s="1"/>
  <c r="K99" i="6"/>
  <c r="P54" i="6"/>
  <c r="P15" i="6"/>
  <c r="L280" i="6"/>
  <c r="O280" i="6" s="1"/>
  <c r="J164" i="6"/>
  <c r="K164" i="6" s="1"/>
  <c r="P166" i="6"/>
  <c r="L135" i="6"/>
  <c r="O135" i="6" s="1"/>
  <c r="O29" i="6"/>
  <c r="L33" i="6"/>
  <c r="L421" i="6"/>
  <c r="O186" i="6"/>
  <c r="O170" i="6"/>
  <c r="N121" i="6"/>
  <c r="N119" i="6" s="1"/>
  <c r="P61" i="6"/>
  <c r="N59" i="6"/>
  <c r="P59" i="6" s="1"/>
  <c r="I112" i="6"/>
  <c r="K112" i="6" s="1"/>
  <c r="P58" i="6"/>
  <c r="N56" i="6"/>
  <c r="M23" i="6"/>
  <c r="N91" i="6"/>
  <c r="P91" i="6" s="1"/>
  <c r="N90" i="6"/>
  <c r="N88" i="6" s="1"/>
  <c r="N55" i="6"/>
  <c r="N53" i="6" s="1"/>
  <c r="K81" i="6"/>
  <c r="I77" i="6"/>
  <c r="O58" i="6"/>
  <c r="O35" i="6"/>
  <c r="P74" i="6"/>
  <c r="P71" i="6"/>
  <c r="P49" i="6"/>
  <c r="P46" i="6"/>
  <c r="L23" i="6"/>
  <c r="N19" i="6"/>
  <c r="N12" i="6"/>
  <c r="L55" i="6"/>
  <c r="N26" i="6"/>
  <c r="M19" i="6"/>
  <c r="M12" i="6"/>
  <c r="N68" i="6"/>
  <c r="L59" i="6"/>
  <c r="L56" i="6"/>
  <c r="N43" i="6"/>
  <c r="N41" i="6" s="1"/>
  <c r="M26" i="6"/>
  <c r="M68" i="6"/>
  <c r="N44" i="6"/>
  <c r="P44" i="6" s="1"/>
  <c r="M43" i="6"/>
  <c r="N29" i="6"/>
  <c r="P32" i="6"/>
  <c r="P25" i="6"/>
  <c r="L68" i="4"/>
  <c r="O68" i="4" s="1"/>
  <c r="K822" i="5"/>
  <c r="L688" i="5"/>
  <c r="O688" i="5" s="1"/>
  <c r="K647" i="5"/>
  <c r="K594" i="5"/>
  <c r="O535" i="5"/>
  <c r="K360" i="5"/>
  <c r="L330" i="5"/>
  <c r="L328" i="5" s="1"/>
  <c r="L300" i="5"/>
  <c r="L298" i="5" s="1"/>
  <c r="O690" i="5"/>
  <c r="P397" i="5"/>
  <c r="J364" i="5"/>
  <c r="L525" i="5"/>
  <c r="L523" i="5" s="1"/>
  <c r="O479" i="5"/>
  <c r="K460" i="5"/>
  <c r="K359" i="5"/>
  <c r="K338" i="5"/>
  <c r="L229" i="5"/>
  <c r="K215" i="5"/>
  <c r="K174" i="5"/>
  <c r="M90" i="5"/>
  <c r="M88" i="5" s="1"/>
  <c r="K824" i="4"/>
  <c r="K726" i="4"/>
  <c r="K651" i="5"/>
  <c r="K674" i="5"/>
  <c r="O189" i="5"/>
  <c r="K828" i="5"/>
  <c r="J722" i="5"/>
  <c r="K669" i="5"/>
  <c r="K462" i="5"/>
  <c r="O456" i="5"/>
  <c r="M391" i="5"/>
  <c r="P391" i="5" s="1"/>
  <c r="K372" i="5"/>
  <c r="M267" i="5"/>
  <c r="P267" i="5" s="1"/>
  <c r="P269" i="5"/>
  <c r="M44" i="5"/>
  <c r="P44" i="5" s="1"/>
  <c r="P46" i="5"/>
  <c r="M134" i="5"/>
  <c r="P134" i="5" s="1"/>
  <c r="M47" i="5"/>
  <c r="P47" i="5" s="1"/>
  <c r="P49" i="5"/>
  <c r="K649" i="5"/>
  <c r="L446" i="5"/>
  <c r="L444" i="5" s="1"/>
  <c r="J433" i="5"/>
  <c r="J417" i="5" s="1"/>
  <c r="M347" i="5"/>
  <c r="M345" i="5" s="1"/>
  <c r="M348" i="5"/>
  <c r="P348" i="5" s="1"/>
  <c r="L68" i="5"/>
  <c r="O68" i="5" s="1"/>
  <c r="K672" i="5"/>
  <c r="N404" i="5"/>
  <c r="N402" i="5" s="1"/>
  <c r="N317" i="5"/>
  <c r="N315" i="5" s="1"/>
  <c r="I216" i="5"/>
  <c r="K216" i="5" s="1"/>
  <c r="K224" i="5"/>
  <c r="N183" i="5"/>
  <c r="N181" i="5" s="1"/>
  <c r="K675" i="4"/>
  <c r="N391" i="5"/>
  <c r="N389" i="5" s="1"/>
  <c r="O157" i="5"/>
  <c r="K675" i="5"/>
  <c r="J537" i="5"/>
  <c r="J522" i="5" s="1"/>
  <c r="K522" i="5" s="1"/>
  <c r="L469" i="5"/>
  <c r="L467" i="5" s="1"/>
  <c r="P303" i="5"/>
  <c r="L283" i="5"/>
  <c r="O283" i="5" s="1"/>
  <c r="P140" i="5"/>
  <c r="P71" i="5"/>
  <c r="K381" i="5"/>
  <c r="K378" i="5"/>
  <c r="K370" i="5"/>
  <c r="O350" i="5"/>
  <c r="I233" i="5"/>
  <c r="K233" i="5" s="1"/>
  <c r="L217" i="5"/>
  <c r="O217" i="5" s="1"/>
  <c r="N134" i="5"/>
  <c r="N132" i="5" s="1"/>
  <c r="N55" i="5"/>
  <c r="I364" i="5"/>
  <c r="O191" i="5"/>
  <c r="O154" i="5"/>
  <c r="N121" i="5"/>
  <c r="N119" i="5" s="1"/>
  <c r="J721" i="5"/>
  <c r="L395" i="5"/>
  <c r="O395" i="5" s="1"/>
  <c r="N26" i="5"/>
  <c r="N16" i="5" s="1"/>
  <c r="K372" i="3"/>
  <c r="K369" i="3"/>
  <c r="K701" i="4"/>
  <c r="K674" i="4"/>
  <c r="K372" i="4"/>
  <c r="K369" i="4"/>
  <c r="K338" i="4"/>
  <c r="L788" i="5"/>
  <c r="O788" i="5" s="1"/>
  <c r="M770" i="5"/>
  <c r="P770" i="5" s="1"/>
  <c r="M737" i="5"/>
  <c r="P737" i="5" s="1"/>
  <c r="N688" i="5"/>
  <c r="N657" i="5"/>
  <c r="L546" i="5"/>
  <c r="O546" i="5" s="1"/>
  <c r="N526" i="5"/>
  <c r="K442" i="5"/>
  <c r="L429" i="5"/>
  <c r="O429" i="5" s="1"/>
  <c r="P394" i="5"/>
  <c r="O390" i="5"/>
  <c r="K374" i="5"/>
  <c r="K365" i="5"/>
  <c r="K362" i="5"/>
  <c r="P353" i="5"/>
  <c r="L348" i="5"/>
  <c r="O348" i="5" s="1"/>
  <c r="N300" i="5"/>
  <c r="N298" i="5" s="1"/>
  <c r="L301" i="5"/>
  <c r="O301" i="5" s="1"/>
  <c r="M279" i="5"/>
  <c r="M277" i="5" s="1"/>
  <c r="P278" i="5"/>
  <c r="K260" i="5"/>
  <c r="L263" i="5"/>
  <c r="L261" i="5" s="1"/>
  <c r="K255" i="5"/>
  <c r="K193" i="5"/>
  <c r="Q166" i="5"/>
  <c r="I112" i="5"/>
  <c r="K112" i="5" s="1"/>
  <c r="L90" i="5"/>
  <c r="L88" i="5" s="1"/>
  <c r="M55" i="5"/>
  <c r="L19" i="5"/>
  <c r="K673" i="4"/>
  <c r="I654" i="4"/>
  <c r="L231" i="4"/>
  <c r="N805" i="5"/>
  <c r="L770" i="5"/>
  <c r="O770" i="5" s="1"/>
  <c r="L737" i="5"/>
  <c r="O737" i="5" s="1"/>
  <c r="O641" i="5"/>
  <c r="L526" i="5"/>
  <c r="O526" i="5" s="1"/>
  <c r="M472" i="5"/>
  <c r="P472" i="5" s="1"/>
  <c r="O353" i="5"/>
  <c r="J327" i="5"/>
  <c r="K327" i="5" s="1"/>
  <c r="M334" i="5"/>
  <c r="P334" i="5" s="1"/>
  <c r="N331" i="5"/>
  <c r="P331" i="5" s="1"/>
  <c r="L321" i="5"/>
  <c r="O321" i="5" s="1"/>
  <c r="M318" i="5"/>
  <c r="P301" i="5"/>
  <c r="J288" i="5"/>
  <c r="J275" i="5" s="1"/>
  <c r="K275" i="5" s="1"/>
  <c r="L231" i="5"/>
  <c r="L209" i="5"/>
  <c r="O209" i="5" s="1"/>
  <c r="K204" i="5"/>
  <c r="Q170" i="5"/>
  <c r="N152" i="5"/>
  <c r="P137" i="5"/>
  <c r="N135" i="5"/>
  <c r="L121" i="5"/>
  <c r="O121" i="5" s="1"/>
  <c r="P74" i="5"/>
  <c r="L55" i="5"/>
  <c r="L53" i="5" s="1"/>
  <c r="J722" i="4"/>
  <c r="K722" i="4" s="1"/>
  <c r="N789" i="5"/>
  <c r="M786" i="5"/>
  <c r="P786" i="5" s="1"/>
  <c r="L657" i="5"/>
  <c r="O657" i="5" s="1"/>
  <c r="K540" i="5"/>
  <c r="M528" i="5"/>
  <c r="M525" i="5" s="1"/>
  <c r="P525" i="5" s="1"/>
  <c r="O503" i="5"/>
  <c r="O424" i="5"/>
  <c r="O299" i="5"/>
  <c r="O269" i="5"/>
  <c r="L230" i="5"/>
  <c r="O186" i="5"/>
  <c r="N184" i="5"/>
  <c r="O184" i="5" s="1"/>
  <c r="L167" i="5"/>
  <c r="O167" i="5" s="1"/>
  <c r="O170" i="5"/>
  <c r="M135" i="5"/>
  <c r="P135" i="5" s="1"/>
  <c r="O127" i="5"/>
  <c r="O96" i="5"/>
  <c r="I77" i="5"/>
  <c r="I65" i="5" s="1"/>
  <c r="K65" i="5" s="1"/>
  <c r="O61" i="5"/>
  <c r="L43" i="5"/>
  <c r="L41" i="5" s="1"/>
  <c r="N34" i="5"/>
  <c r="L805" i="5"/>
  <c r="O805" i="5" s="1"/>
  <c r="O660" i="5"/>
  <c r="N655" i="5"/>
  <c r="L631" i="5"/>
  <c r="L629" i="5" s="1"/>
  <c r="I434" i="5"/>
  <c r="I418" i="5" s="1"/>
  <c r="K418" i="5" s="1"/>
  <c r="M392" i="5"/>
  <c r="P392" i="5" s="1"/>
  <c r="K340" i="5"/>
  <c r="P333" i="5"/>
  <c r="P306" i="5"/>
  <c r="M283" i="5"/>
  <c r="P283" i="5" s="1"/>
  <c r="I87" i="5"/>
  <c r="K87" i="5" s="1"/>
  <c r="N68" i="5"/>
  <c r="N66" i="5" s="1"/>
  <c r="M15" i="5"/>
  <c r="P334" i="4"/>
  <c r="N263" i="4"/>
  <c r="N261" i="4" s="1"/>
  <c r="I785" i="5"/>
  <c r="K785" i="5" s="1"/>
  <c r="O557" i="5"/>
  <c r="N472" i="5"/>
  <c r="N469" i="5" s="1"/>
  <c r="K466" i="5"/>
  <c r="M408" i="5"/>
  <c r="P408" i="5" s="1"/>
  <c r="N405" i="5"/>
  <c r="L391" i="5"/>
  <c r="O391" i="5" s="1"/>
  <c r="L392" i="5"/>
  <c r="O392" i="5" s="1"/>
  <c r="K355" i="5"/>
  <c r="P351" i="5"/>
  <c r="L317" i="5"/>
  <c r="L315" i="5" s="1"/>
  <c r="L249" i="5"/>
  <c r="O249" i="5" s="1"/>
  <c r="L228" i="5"/>
  <c r="M167" i="5"/>
  <c r="M165" i="5" s="1"/>
  <c r="L151" i="5"/>
  <c r="O151" i="5" s="1"/>
  <c r="L134" i="5"/>
  <c r="O134" i="5" s="1"/>
  <c r="O124" i="5"/>
  <c r="N122" i="5"/>
  <c r="N90" i="5"/>
  <c r="O91" i="5"/>
  <c r="I76" i="5"/>
  <c r="K76" i="5" s="1"/>
  <c r="O58" i="5"/>
  <c r="N56" i="5"/>
  <c r="O56" i="5" s="1"/>
  <c r="N47" i="5"/>
  <c r="N19" i="5"/>
  <c r="N547" i="5"/>
  <c r="N546" i="5"/>
  <c r="N544" i="5" s="1"/>
  <c r="J592" i="5"/>
  <c r="K592" i="5" s="1"/>
  <c r="K593" i="5"/>
  <c r="O547" i="5"/>
  <c r="P771" i="5"/>
  <c r="N756" i="5"/>
  <c r="N754" i="5" s="1"/>
  <c r="M754" i="5"/>
  <c r="P754" i="5" s="1"/>
  <c r="P738" i="5"/>
  <c r="O634" i="5"/>
  <c r="P630" i="5"/>
  <c r="L36" i="5"/>
  <c r="N447" i="5"/>
  <c r="N446" i="5"/>
  <c r="N444" i="5" s="1"/>
  <c r="P424" i="5"/>
  <c r="M422" i="5"/>
  <c r="M421" i="5"/>
  <c r="P421" i="5" s="1"/>
  <c r="I276" i="5"/>
  <c r="K276" i="5" s="1"/>
  <c r="K287" i="5"/>
  <c r="J143" i="5"/>
  <c r="J131" i="5" s="1"/>
  <c r="I143" i="5"/>
  <c r="K145" i="5"/>
  <c r="P316" i="5"/>
  <c r="M171" i="4"/>
  <c r="P171" i="4" s="1"/>
  <c r="K821" i="5"/>
  <c r="O806" i="5"/>
  <c r="P687" i="5"/>
  <c r="M631" i="5"/>
  <c r="P631" i="5" s="1"/>
  <c r="P634" i="5"/>
  <c r="L632" i="5"/>
  <c r="O632" i="5" s="1"/>
  <c r="M545" i="5"/>
  <c r="N523" i="5"/>
  <c r="K465" i="5"/>
  <c r="M405" i="5"/>
  <c r="P405" i="5" s="1"/>
  <c r="O351" i="5"/>
  <c r="O333" i="5"/>
  <c r="L331" i="5"/>
  <c r="P320" i="5"/>
  <c r="N318" i="5"/>
  <c r="O320" i="5"/>
  <c r="M449" i="5"/>
  <c r="O449" i="5"/>
  <c r="L789" i="5"/>
  <c r="O789" i="5" s="1"/>
  <c r="N772" i="5"/>
  <c r="N770" i="5" s="1"/>
  <c r="N739" i="5"/>
  <c r="N737" i="5" s="1"/>
  <c r="K628" i="5"/>
  <c r="N419" i="5"/>
  <c r="I417" i="5"/>
  <c r="O410" i="5"/>
  <c r="L408" i="5"/>
  <c r="O408" i="5" s="1"/>
  <c r="M404" i="5"/>
  <c r="P262" i="5"/>
  <c r="I226" i="5"/>
  <c r="K226" i="5" s="1"/>
  <c r="K237" i="5"/>
  <c r="O336" i="5"/>
  <c r="L334" i="5"/>
  <c r="O334" i="5" s="1"/>
  <c r="P58" i="5"/>
  <c r="M56" i="5"/>
  <c r="O755" i="5"/>
  <c r="L685" i="5"/>
  <c r="O685" i="5" s="1"/>
  <c r="N631" i="5"/>
  <c r="O407" i="5"/>
  <c r="L405" i="5"/>
  <c r="O405" i="5" s="1"/>
  <c r="L404" i="5"/>
  <c r="O404" i="5" s="1"/>
  <c r="K379" i="5"/>
  <c r="L23" i="5"/>
  <c r="O403" i="5"/>
  <c r="K827" i="5"/>
  <c r="I559" i="5"/>
  <c r="M549" i="5"/>
  <c r="O549" i="5"/>
  <c r="L447" i="5"/>
  <c r="O447" i="5" s="1"/>
  <c r="N422" i="5"/>
  <c r="K385" i="5"/>
  <c r="P124" i="5"/>
  <c r="M122" i="5"/>
  <c r="P122" i="5" s="1"/>
  <c r="M121" i="5"/>
  <c r="L347" i="5"/>
  <c r="M330" i="5"/>
  <c r="I297" i="5"/>
  <c r="K297" i="5" s="1"/>
  <c r="L279" i="5"/>
  <c r="P186" i="5"/>
  <c r="M184" i="5"/>
  <c r="O19" i="5"/>
  <c r="O528" i="5"/>
  <c r="N504" i="5"/>
  <c r="N502" i="5" s="1"/>
  <c r="O445" i="5"/>
  <c r="P350" i="5"/>
  <c r="O303" i="5"/>
  <c r="O282" i="5"/>
  <c r="L238" i="5"/>
  <c r="L198" i="5"/>
  <c r="O198" i="5" s="1"/>
  <c r="J164" i="5"/>
  <c r="N23" i="5"/>
  <c r="N21" i="5" s="1"/>
  <c r="N29" i="5"/>
  <c r="N12" i="5"/>
  <c r="L33" i="5"/>
  <c r="L31" i="5" s="1"/>
  <c r="L421" i="5"/>
  <c r="O329" i="5"/>
  <c r="K325" i="5"/>
  <c r="N280" i="5"/>
  <c r="P280" i="5" s="1"/>
  <c r="N279" i="5"/>
  <c r="N277" i="5" s="1"/>
  <c r="P266" i="5"/>
  <c r="N264" i="5"/>
  <c r="O264" i="5" s="1"/>
  <c r="O266" i="5"/>
  <c r="O182" i="5"/>
  <c r="P157" i="5"/>
  <c r="M155" i="5"/>
  <c r="P155" i="5" s="1"/>
  <c r="O150" i="5"/>
  <c r="K98" i="5"/>
  <c r="I86" i="5"/>
  <c r="K86" i="5" s="1"/>
  <c r="L26" i="5"/>
  <c r="L24" i="5" s="1"/>
  <c r="P15" i="5"/>
  <c r="N347" i="5"/>
  <c r="N345" i="5" s="1"/>
  <c r="M300" i="5"/>
  <c r="N263" i="5"/>
  <c r="N261" i="5" s="1"/>
  <c r="N171" i="5"/>
  <c r="Q171" i="5" s="1"/>
  <c r="Q173" i="5"/>
  <c r="N167" i="5"/>
  <c r="O59" i="5"/>
  <c r="O12" i="5"/>
  <c r="N15" i="5"/>
  <c r="P189" i="5"/>
  <c r="M187" i="5"/>
  <c r="P187" i="5" s="1"/>
  <c r="M183" i="5"/>
  <c r="P154" i="5"/>
  <c r="M152" i="5"/>
  <c r="P152" i="5" s="1"/>
  <c r="M151" i="5"/>
  <c r="P127" i="5"/>
  <c r="M125" i="5"/>
  <c r="P125" i="5" s="1"/>
  <c r="O120" i="5"/>
  <c r="P61" i="5"/>
  <c r="M59" i="5"/>
  <c r="P59" i="5" s="1"/>
  <c r="O54" i="5"/>
  <c r="P282" i="5"/>
  <c r="O278" i="5"/>
  <c r="O173" i="5"/>
  <c r="L171" i="5"/>
  <c r="O171" i="5" s="1"/>
  <c r="O166" i="5"/>
  <c r="L138" i="5"/>
  <c r="O138" i="5" s="1"/>
  <c r="L135" i="5"/>
  <c r="O135" i="5" s="1"/>
  <c r="P133" i="5"/>
  <c r="M94" i="5"/>
  <c r="P94" i="5" s="1"/>
  <c r="M91" i="5"/>
  <c r="P91" i="5" s="1"/>
  <c r="L72" i="5"/>
  <c r="O72" i="5" s="1"/>
  <c r="L69" i="5"/>
  <c r="O69" i="5" s="1"/>
  <c r="P67" i="5"/>
  <c r="L47" i="5"/>
  <c r="O47" i="5" s="1"/>
  <c r="L44" i="5"/>
  <c r="O44" i="5" s="1"/>
  <c r="P42" i="5"/>
  <c r="O32" i="5"/>
  <c r="L29" i="5"/>
  <c r="O25" i="5"/>
  <c r="M23" i="5"/>
  <c r="L15" i="5"/>
  <c r="L9" i="5" s="1"/>
  <c r="M263" i="5"/>
  <c r="L183" i="5"/>
  <c r="P170" i="5"/>
  <c r="M168" i="5"/>
  <c r="K159" i="5"/>
  <c r="O137" i="5"/>
  <c r="P93" i="5"/>
  <c r="O89" i="5"/>
  <c r="O71" i="5"/>
  <c r="O49" i="5"/>
  <c r="O46" i="5"/>
  <c r="P35" i="5"/>
  <c r="P22" i="5"/>
  <c r="M19" i="5"/>
  <c r="M12" i="5"/>
  <c r="K271" i="5"/>
  <c r="K225" i="5"/>
  <c r="K176" i="5"/>
  <c r="I130" i="5"/>
  <c r="K130" i="5" s="1"/>
  <c r="O93" i="5"/>
  <c r="K79" i="5"/>
  <c r="N43" i="5"/>
  <c r="N41" i="5" s="1"/>
  <c r="M26" i="5"/>
  <c r="K244" i="5"/>
  <c r="M68" i="5"/>
  <c r="P68" i="5" s="1"/>
  <c r="M43" i="5"/>
  <c r="M34" i="5"/>
  <c r="P34" i="5" s="1"/>
  <c r="M29" i="5"/>
  <c r="K385" i="3"/>
  <c r="K381" i="3"/>
  <c r="K378" i="3"/>
  <c r="K823" i="4"/>
  <c r="L525" i="4"/>
  <c r="O525" i="4" s="1"/>
  <c r="M395" i="4"/>
  <c r="P395" i="4" s="1"/>
  <c r="K370" i="4"/>
  <c r="O350" i="4"/>
  <c r="L317" i="4"/>
  <c r="O317" i="4" s="1"/>
  <c r="L267" i="4"/>
  <c r="O267" i="4" s="1"/>
  <c r="K204" i="4"/>
  <c r="O170" i="4"/>
  <c r="L122" i="4"/>
  <c r="O122" i="4" s="1"/>
  <c r="K728" i="4"/>
  <c r="K720" i="4"/>
  <c r="K828" i="4"/>
  <c r="P266" i="4"/>
  <c r="O71" i="4"/>
  <c r="L69" i="4"/>
  <c r="O69" i="4" s="1"/>
  <c r="O266" i="4"/>
  <c r="I190" i="4"/>
  <c r="K190" i="4" s="1"/>
  <c r="L187" i="4"/>
  <c r="O187" i="4" s="1"/>
  <c r="L167" i="4"/>
  <c r="L165" i="4" s="1"/>
  <c r="O173" i="4"/>
  <c r="L90" i="4"/>
  <c r="L88" i="4" s="1"/>
  <c r="L788" i="4"/>
  <c r="O788" i="4" s="1"/>
  <c r="I442" i="4"/>
  <c r="K442" i="4" s="1"/>
  <c r="L404" i="4"/>
  <c r="O404" i="4" s="1"/>
  <c r="M690" i="4"/>
  <c r="M687" i="4" s="1"/>
  <c r="M685" i="4" s="1"/>
  <c r="O557" i="4"/>
  <c r="K360" i="4"/>
  <c r="O353" i="4"/>
  <c r="K325" i="4"/>
  <c r="K355" i="4"/>
  <c r="I233" i="4"/>
  <c r="K233" i="4" s="1"/>
  <c r="I364" i="3"/>
  <c r="P184" i="3"/>
  <c r="J721" i="4"/>
  <c r="K721" i="4" s="1"/>
  <c r="L688" i="4"/>
  <c r="O688" i="4" s="1"/>
  <c r="P407" i="4"/>
  <c r="P351" i="4"/>
  <c r="K340" i="4"/>
  <c r="O472" i="4"/>
  <c r="I443" i="4"/>
  <c r="K443" i="4" s="1"/>
  <c r="K287" i="4"/>
  <c r="K176" i="4"/>
  <c r="I174" i="4"/>
  <c r="I164" i="4" s="1"/>
  <c r="K164" i="4" s="1"/>
  <c r="P93" i="4"/>
  <c r="K826" i="4"/>
  <c r="M472" i="4"/>
  <c r="M470" i="4" s="1"/>
  <c r="K385" i="4"/>
  <c r="K378" i="4"/>
  <c r="L330" i="4"/>
  <c r="L328" i="4" s="1"/>
  <c r="O306" i="4"/>
  <c r="O303" i="4"/>
  <c r="K100" i="4"/>
  <c r="L229" i="4"/>
  <c r="K98" i="4"/>
  <c r="M183" i="4"/>
  <c r="M181" i="4" s="1"/>
  <c r="M167" i="4"/>
  <c r="M165" i="4" s="1"/>
  <c r="O154" i="4"/>
  <c r="O74" i="4"/>
  <c r="N55" i="4"/>
  <c r="N53" i="4" s="1"/>
  <c r="L43" i="4"/>
  <c r="L41" i="4" s="1"/>
  <c r="P189" i="4"/>
  <c r="L155" i="4"/>
  <c r="O155" i="4" s="1"/>
  <c r="L125" i="4"/>
  <c r="O125" i="4" s="1"/>
  <c r="K99" i="4"/>
  <c r="P91" i="4"/>
  <c r="I76" i="4"/>
  <c r="K76" i="4" s="1"/>
  <c r="O49" i="4"/>
  <c r="K197" i="4"/>
  <c r="K729" i="3"/>
  <c r="N789" i="4"/>
  <c r="I785" i="4"/>
  <c r="K785" i="4" s="1"/>
  <c r="N757" i="4"/>
  <c r="P755" i="4"/>
  <c r="K725" i="4"/>
  <c r="K708" i="4"/>
  <c r="M658" i="4"/>
  <c r="P658" i="4" s="1"/>
  <c r="L639" i="4"/>
  <c r="O639" i="4" s="1"/>
  <c r="M545" i="4"/>
  <c r="P524" i="4"/>
  <c r="N422" i="4"/>
  <c r="O351" i="4"/>
  <c r="N347" i="4"/>
  <c r="N345" i="4" s="1"/>
  <c r="N348" i="4"/>
  <c r="P348" i="4" s="1"/>
  <c r="J327" i="4"/>
  <c r="K327" i="4" s="1"/>
  <c r="O336" i="4"/>
  <c r="K309" i="4"/>
  <c r="J288" i="4"/>
  <c r="K224" i="4"/>
  <c r="P186" i="4"/>
  <c r="P168" i="4"/>
  <c r="L168" i="4"/>
  <c r="O168" i="4" s="1"/>
  <c r="O133" i="4"/>
  <c r="I130" i="4"/>
  <c r="K130" i="4" s="1"/>
  <c r="N90" i="4"/>
  <c r="N88" i="4" s="1"/>
  <c r="P71" i="4"/>
  <c r="P61" i="4"/>
  <c r="P46" i="4"/>
  <c r="O791" i="4"/>
  <c r="M770" i="4"/>
  <c r="P770" i="4" s="1"/>
  <c r="M737" i="4"/>
  <c r="P737" i="4" s="1"/>
  <c r="N632" i="4"/>
  <c r="J594" i="4"/>
  <c r="O535" i="4"/>
  <c r="P410" i="4"/>
  <c r="L408" i="4"/>
  <c r="O408" i="4" s="1"/>
  <c r="K379" i="4"/>
  <c r="N317" i="4"/>
  <c r="N315" i="4" s="1"/>
  <c r="M318" i="4"/>
  <c r="P318" i="4" s="1"/>
  <c r="M300" i="4"/>
  <c r="M298" i="4" s="1"/>
  <c r="L249" i="4"/>
  <c r="O249" i="4" s="1"/>
  <c r="I248" i="4"/>
  <c r="K248" i="4" s="1"/>
  <c r="L230" i="4"/>
  <c r="M184" i="4"/>
  <c r="P184" i="4" s="1"/>
  <c r="M90" i="4"/>
  <c r="M88" i="4" s="1"/>
  <c r="J87" i="4"/>
  <c r="K87" i="4" s="1"/>
  <c r="L55" i="4"/>
  <c r="L53" i="4" s="1"/>
  <c r="O46" i="4"/>
  <c r="P303" i="3"/>
  <c r="I522" i="4"/>
  <c r="K522" i="4" s="1"/>
  <c r="P353" i="4"/>
  <c r="P306" i="4"/>
  <c r="I237" i="4"/>
  <c r="L198" i="4"/>
  <c r="O198" i="4" s="1"/>
  <c r="L134" i="4"/>
  <c r="L132" i="4" s="1"/>
  <c r="N121" i="4"/>
  <c r="N119" i="4" s="1"/>
  <c r="O89" i="4"/>
  <c r="P74" i="4"/>
  <c r="P49" i="4"/>
  <c r="P44" i="4"/>
  <c r="K822" i="4"/>
  <c r="L805" i="4"/>
  <c r="O805" i="4" s="1"/>
  <c r="L685" i="4"/>
  <c r="L631" i="4"/>
  <c r="O631" i="4" s="1"/>
  <c r="K594" i="4"/>
  <c r="O447" i="4"/>
  <c r="N404" i="4"/>
  <c r="N402" i="4" s="1"/>
  <c r="L405" i="4"/>
  <c r="O405" i="4" s="1"/>
  <c r="N391" i="4"/>
  <c r="N389" i="4" s="1"/>
  <c r="K362" i="4"/>
  <c r="P336" i="4"/>
  <c r="O334" i="4"/>
  <c r="K276" i="4"/>
  <c r="L228" i="4"/>
  <c r="L209" i="4"/>
  <c r="O209" i="4" s="1"/>
  <c r="N151" i="4"/>
  <c r="N149" i="4" s="1"/>
  <c r="L152" i="4"/>
  <c r="O152" i="4" s="1"/>
  <c r="M121" i="4"/>
  <c r="P121" i="4" s="1"/>
  <c r="P120" i="4"/>
  <c r="K111" i="4"/>
  <c r="P96" i="4"/>
  <c r="M68" i="4"/>
  <c r="P68" i="4" s="1"/>
  <c r="M43" i="4"/>
  <c r="M41" i="4" s="1"/>
  <c r="K729" i="2"/>
  <c r="L555" i="4"/>
  <c r="O555" i="4" s="1"/>
  <c r="K435" i="4"/>
  <c r="K381" i="4"/>
  <c r="K359" i="4"/>
  <c r="P350" i="4"/>
  <c r="P333" i="4"/>
  <c r="L331" i="4"/>
  <c r="O331" i="4" s="1"/>
  <c r="O285" i="4"/>
  <c r="P280" i="4"/>
  <c r="K271" i="4"/>
  <c r="K236" i="4"/>
  <c r="L217" i="4"/>
  <c r="O217" i="4" s="1"/>
  <c r="K215" i="4"/>
  <c r="J164" i="4"/>
  <c r="P170" i="4"/>
  <c r="P59" i="4"/>
  <c r="N547" i="4"/>
  <c r="P547" i="4" s="1"/>
  <c r="N546" i="4"/>
  <c r="N544" i="4" s="1"/>
  <c r="N657" i="4"/>
  <c r="N655" i="4" s="1"/>
  <c r="N658" i="4"/>
  <c r="J364" i="4"/>
  <c r="K365" i="4"/>
  <c r="J654" i="4"/>
  <c r="K669" i="4"/>
  <c r="P424" i="4"/>
  <c r="M421" i="4"/>
  <c r="M422" i="4"/>
  <c r="P422" i="4" s="1"/>
  <c r="O390" i="4"/>
  <c r="K460" i="3"/>
  <c r="K821" i="4"/>
  <c r="P806" i="4"/>
  <c r="N773" i="4"/>
  <c r="N740" i="4"/>
  <c r="K723" i="4"/>
  <c r="N687" i="4"/>
  <c r="O687" i="4" s="1"/>
  <c r="M502" i="4"/>
  <c r="P502" i="4" s="1"/>
  <c r="N419" i="4"/>
  <c r="I364" i="4"/>
  <c r="K374" i="4"/>
  <c r="P331" i="4"/>
  <c r="O323" i="4"/>
  <c r="L321" i="4"/>
  <c r="O321" i="4" s="1"/>
  <c r="M317" i="4"/>
  <c r="L263" i="4"/>
  <c r="P19" i="4"/>
  <c r="K649" i="2"/>
  <c r="K825" i="4"/>
  <c r="P787" i="4"/>
  <c r="N770" i="4"/>
  <c r="L770" i="4"/>
  <c r="O770" i="4" s="1"/>
  <c r="N737" i="4"/>
  <c r="L737" i="4"/>
  <c r="O737" i="4" s="1"/>
  <c r="O690" i="4"/>
  <c r="L657" i="4"/>
  <c r="O660" i="4"/>
  <c r="L658" i="4"/>
  <c r="O658" i="4" s="1"/>
  <c r="K559" i="4"/>
  <c r="O549" i="4"/>
  <c r="P545" i="4"/>
  <c r="N526" i="4"/>
  <c r="L477" i="4"/>
  <c r="O477" i="4" s="1"/>
  <c r="O479" i="4"/>
  <c r="L454" i="4"/>
  <c r="O454" i="4" s="1"/>
  <c r="O420" i="4"/>
  <c r="M392" i="4"/>
  <c r="P392" i="4" s="1"/>
  <c r="P303" i="4"/>
  <c r="N301" i="4"/>
  <c r="P301" i="4" s="1"/>
  <c r="P285" i="4"/>
  <c r="M279" i="4"/>
  <c r="M277" i="4" s="1"/>
  <c r="M283" i="4"/>
  <c r="P283" i="4" s="1"/>
  <c r="O150" i="4"/>
  <c r="N807" i="4"/>
  <c r="N805" i="4" s="1"/>
  <c r="M655" i="4"/>
  <c r="P655" i="4" s="1"/>
  <c r="L544" i="4"/>
  <c r="J537" i="4"/>
  <c r="J522" i="4" s="1"/>
  <c r="N470" i="4"/>
  <c r="N469" i="4"/>
  <c r="N467" i="4" s="1"/>
  <c r="L446" i="4"/>
  <c r="O397" i="4"/>
  <c r="L395" i="4"/>
  <c r="O395" i="4" s="1"/>
  <c r="M391" i="4"/>
  <c r="M267" i="4"/>
  <c r="P267" i="4" s="1"/>
  <c r="P133" i="4"/>
  <c r="N33" i="4"/>
  <c r="I434" i="4"/>
  <c r="K159" i="4"/>
  <c r="I148" i="4"/>
  <c r="K148" i="4" s="1"/>
  <c r="M391" i="3"/>
  <c r="P391" i="3" s="1"/>
  <c r="N685" i="4"/>
  <c r="M546" i="4"/>
  <c r="M544" i="4" s="1"/>
  <c r="P549" i="4"/>
  <c r="L547" i="4"/>
  <c r="L526" i="4"/>
  <c r="O526" i="4" s="1"/>
  <c r="O528" i="4"/>
  <c r="O503" i="4"/>
  <c r="M449" i="4"/>
  <c r="O449" i="4"/>
  <c r="L36" i="4"/>
  <c r="O36" i="4" s="1"/>
  <c r="L429" i="4"/>
  <c r="O429" i="4" s="1"/>
  <c r="O394" i="4"/>
  <c r="L392" i="4"/>
  <c r="O392" i="4" s="1"/>
  <c r="L391" i="4"/>
  <c r="O391" i="4" s="1"/>
  <c r="M321" i="4"/>
  <c r="P321" i="4" s="1"/>
  <c r="O316" i="4"/>
  <c r="L280" i="4"/>
  <c r="O280" i="4" s="1"/>
  <c r="L279" i="4"/>
  <c r="L277" i="4" s="1"/>
  <c r="O282" i="4"/>
  <c r="P278" i="4"/>
  <c r="L238" i="4"/>
  <c r="L184" i="4"/>
  <c r="O184" i="4" s="1"/>
  <c r="O186" i="4"/>
  <c r="L183" i="4"/>
  <c r="I131" i="4"/>
  <c r="P12" i="4"/>
  <c r="O634" i="4"/>
  <c r="L632" i="4"/>
  <c r="O632" i="4" s="1"/>
  <c r="O320" i="4"/>
  <c r="L318" i="4"/>
  <c r="O318" i="4" s="1"/>
  <c r="N754" i="4"/>
  <c r="L754" i="4"/>
  <c r="O754" i="4" s="1"/>
  <c r="P660" i="4"/>
  <c r="J593" i="4"/>
  <c r="J592" i="4" s="1"/>
  <c r="K592" i="4" s="1"/>
  <c r="I417" i="4"/>
  <c r="L33" i="4"/>
  <c r="O424" i="4"/>
  <c r="L422" i="4"/>
  <c r="O422" i="4" s="1"/>
  <c r="L421" i="4"/>
  <c r="O421" i="4" s="1"/>
  <c r="N300" i="4"/>
  <c r="N298" i="4" s="1"/>
  <c r="O278" i="4"/>
  <c r="M263" i="4"/>
  <c r="J143" i="4"/>
  <c r="J131" i="4" s="1"/>
  <c r="K144" i="4"/>
  <c r="O407" i="4"/>
  <c r="O333" i="4"/>
  <c r="N279" i="4"/>
  <c r="N277" i="4" s="1"/>
  <c r="K255" i="4"/>
  <c r="P157" i="4"/>
  <c r="M155" i="4"/>
  <c r="P155" i="4" s="1"/>
  <c r="P140" i="4"/>
  <c r="N138" i="4"/>
  <c r="O138" i="4" s="1"/>
  <c r="O140" i="4"/>
  <c r="I112" i="4"/>
  <c r="K112" i="4" s="1"/>
  <c r="K116" i="4"/>
  <c r="O44" i="4"/>
  <c r="N26" i="4"/>
  <c r="J433" i="4"/>
  <c r="J417" i="4" s="1"/>
  <c r="M347" i="4"/>
  <c r="N330" i="4"/>
  <c r="N328" i="4" s="1"/>
  <c r="L300" i="4"/>
  <c r="M264" i="4"/>
  <c r="P264" i="4" s="1"/>
  <c r="P154" i="4"/>
  <c r="M152" i="4"/>
  <c r="P152" i="4" s="1"/>
  <c r="M151" i="4"/>
  <c r="P137" i="4"/>
  <c r="N135" i="4"/>
  <c r="O135" i="4" s="1"/>
  <c r="O137" i="4"/>
  <c r="M23" i="4"/>
  <c r="M21" i="4" s="1"/>
  <c r="M29" i="4"/>
  <c r="P32" i="4"/>
  <c r="L469" i="4"/>
  <c r="L467" i="4" s="1"/>
  <c r="N446" i="4"/>
  <c r="N444" i="4" s="1"/>
  <c r="M404" i="4"/>
  <c r="P404" i="4" s="1"/>
  <c r="L347" i="4"/>
  <c r="M330" i="4"/>
  <c r="L264" i="4"/>
  <c r="O264" i="4" s="1"/>
  <c r="N134" i="4"/>
  <c r="N132" i="4" s="1"/>
  <c r="O61" i="4"/>
  <c r="L59" i="4"/>
  <c r="O59" i="4" s="1"/>
  <c r="O58" i="4"/>
  <c r="L56" i="4"/>
  <c r="M26" i="4"/>
  <c r="O15" i="4"/>
  <c r="P282" i="4"/>
  <c r="N267" i="4"/>
  <c r="L26" i="4"/>
  <c r="M15" i="4"/>
  <c r="M9" i="4" s="1"/>
  <c r="P25" i="4"/>
  <c r="L151" i="4"/>
  <c r="M125" i="4"/>
  <c r="P125" i="4" s="1"/>
  <c r="M122" i="4"/>
  <c r="P122" i="4" s="1"/>
  <c r="L121" i="4"/>
  <c r="O121" i="4" s="1"/>
  <c r="L94" i="4"/>
  <c r="O94" i="4" s="1"/>
  <c r="L91" i="4"/>
  <c r="O91" i="4" s="1"/>
  <c r="N56" i="4"/>
  <c r="P56" i="4" s="1"/>
  <c r="M55" i="4"/>
  <c r="L23" i="4"/>
  <c r="L21" i="4" s="1"/>
  <c r="N19" i="4"/>
  <c r="N12" i="4"/>
  <c r="N183" i="4"/>
  <c r="N167" i="4"/>
  <c r="M134" i="4"/>
  <c r="M132" i="4" s="1"/>
  <c r="P124" i="4"/>
  <c r="O120" i="4"/>
  <c r="O93" i="4"/>
  <c r="J86" i="4"/>
  <c r="K86" i="4" s="1"/>
  <c r="I77" i="4"/>
  <c r="N68" i="4"/>
  <c r="N66" i="4" s="1"/>
  <c r="P54" i="4"/>
  <c r="N43" i="4"/>
  <c r="O35" i="4"/>
  <c r="O22" i="4"/>
  <c r="L19" i="4"/>
  <c r="L12" i="4"/>
  <c r="P58" i="4"/>
  <c r="K145" i="4"/>
  <c r="K78" i="4"/>
  <c r="N23" i="4"/>
  <c r="L29" i="4"/>
  <c r="K723" i="3"/>
  <c r="K365" i="3"/>
  <c r="K338" i="3"/>
  <c r="P46" i="3"/>
  <c r="L470" i="3"/>
  <c r="O470" i="3" s="1"/>
  <c r="O285" i="3"/>
  <c r="M263" i="3"/>
  <c r="M261" i="3" s="1"/>
  <c r="O74" i="3"/>
  <c r="K699" i="3"/>
  <c r="K435" i="3"/>
  <c r="K176" i="3"/>
  <c r="M279" i="3"/>
  <c r="P279" i="3" s="1"/>
  <c r="L263" i="1"/>
  <c r="L261" i="1" s="1"/>
  <c r="J433" i="3"/>
  <c r="J417" i="3" s="1"/>
  <c r="K360" i="3"/>
  <c r="M330" i="3"/>
  <c r="M328" i="3" s="1"/>
  <c r="O266" i="3"/>
  <c r="O168" i="3"/>
  <c r="P140" i="3"/>
  <c r="K362" i="3"/>
  <c r="K340" i="3"/>
  <c r="P285" i="3"/>
  <c r="P74" i="3"/>
  <c r="P61" i="3"/>
  <c r="L526" i="3"/>
  <c r="O526" i="3" s="1"/>
  <c r="M404" i="3"/>
  <c r="M402" i="3" s="1"/>
  <c r="P402" i="3" s="1"/>
  <c r="K379" i="3"/>
  <c r="K271" i="3"/>
  <c r="I233" i="3"/>
  <c r="K233" i="3" s="1"/>
  <c r="L151" i="3"/>
  <c r="O151" i="3" s="1"/>
  <c r="L525" i="3"/>
  <c r="O525" i="3" s="1"/>
  <c r="O303" i="3"/>
  <c r="O49" i="3"/>
  <c r="K827" i="3"/>
  <c r="K824" i="3"/>
  <c r="K821" i="3"/>
  <c r="M347" i="3"/>
  <c r="M345" i="3" s="1"/>
  <c r="K288" i="3"/>
  <c r="M125" i="3"/>
  <c r="P125" i="3" s="1"/>
  <c r="N55" i="3"/>
  <c r="N53" i="3" s="1"/>
  <c r="O282" i="2"/>
  <c r="L230" i="2"/>
  <c r="P410" i="3"/>
  <c r="L347" i="3"/>
  <c r="L345" i="3" s="1"/>
  <c r="N121" i="3"/>
  <c r="N119" i="3" s="1"/>
  <c r="L122" i="3"/>
  <c r="O122" i="3" s="1"/>
  <c r="L786" i="3"/>
  <c r="O786" i="3" s="1"/>
  <c r="J722" i="3"/>
  <c r="K722" i="3" s="1"/>
  <c r="L447" i="3"/>
  <c r="O447" i="3" s="1"/>
  <c r="L279" i="3"/>
  <c r="O279" i="3" s="1"/>
  <c r="L217" i="3"/>
  <c r="O217" i="3" s="1"/>
  <c r="P173" i="3"/>
  <c r="M121" i="3"/>
  <c r="P121" i="3" s="1"/>
  <c r="M68" i="3"/>
  <c r="P68" i="3" s="1"/>
  <c r="M44" i="3"/>
  <c r="O791" i="3"/>
  <c r="L789" i="3"/>
  <c r="O789" i="3" s="1"/>
  <c r="I654" i="3"/>
  <c r="K654" i="3" s="1"/>
  <c r="P407" i="3"/>
  <c r="P353" i="3"/>
  <c r="M331" i="3"/>
  <c r="O353" i="3"/>
  <c r="N330" i="3"/>
  <c r="N328" i="3" s="1"/>
  <c r="M317" i="3"/>
  <c r="P317" i="3" s="1"/>
  <c r="M658" i="3"/>
  <c r="P658" i="3" s="1"/>
  <c r="M657" i="3"/>
  <c r="P657" i="3" s="1"/>
  <c r="P660" i="3"/>
  <c r="I112" i="2"/>
  <c r="K112" i="2" s="1"/>
  <c r="K725" i="3"/>
  <c r="J327" i="3"/>
  <c r="K327" i="3" s="1"/>
  <c r="K111" i="3"/>
  <c r="K372" i="2"/>
  <c r="K826" i="3"/>
  <c r="K823" i="3"/>
  <c r="N807" i="3"/>
  <c r="N805" i="3" s="1"/>
  <c r="L805" i="3"/>
  <c r="O805" i="3" s="1"/>
  <c r="M754" i="3"/>
  <c r="P754" i="3" s="1"/>
  <c r="K700" i="3"/>
  <c r="O641" i="3"/>
  <c r="J593" i="3"/>
  <c r="J592" i="3" s="1"/>
  <c r="M523" i="3"/>
  <c r="P523" i="3" s="1"/>
  <c r="K466" i="3"/>
  <c r="M444" i="3"/>
  <c r="P444" i="3" s="1"/>
  <c r="L408" i="3"/>
  <c r="O408" i="3" s="1"/>
  <c r="P351" i="3"/>
  <c r="P336" i="3"/>
  <c r="O333" i="3"/>
  <c r="K325" i="3"/>
  <c r="P306" i="3"/>
  <c r="J288" i="3"/>
  <c r="J275" i="3" s="1"/>
  <c r="P269" i="3"/>
  <c r="L231" i="3"/>
  <c r="I237" i="3"/>
  <c r="I226" i="3" s="1"/>
  <c r="K226" i="3" s="1"/>
  <c r="K216" i="3"/>
  <c r="P189" i="3"/>
  <c r="O173" i="3"/>
  <c r="P170" i="3"/>
  <c r="K159" i="3"/>
  <c r="O140" i="3"/>
  <c r="P137" i="3"/>
  <c r="I112" i="3"/>
  <c r="K112" i="3" s="1"/>
  <c r="L90" i="3"/>
  <c r="L88" i="3" s="1"/>
  <c r="I76" i="3"/>
  <c r="I64" i="3" s="1"/>
  <c r="K64" i="3" s="1"/>
  <c r="P71" i="3"/>
  <c r="L15" i="3"/>
  <c r="N502" i="3"/>
  <c r="L770" i="3"/>
  <c r="O770" i="3" s="1"/>
  <c r="K708" i="3"/>
  <c r="K359" i="3"/>
  <c r="N227" i="3"/>
  <c r="P58" i="3"/>
  <c r="M47" i="3"/>
  <c r="P47" i="3" s="1"/>
  <c r="J233" i="1"/>
  <c r="O738" i="3"/>
  <c r="O660" i="3"/>
  <c r="K594" i="3"/>
  <c r="I522" i="3"/>
  <c r="K522" i="3" s="1"/>
  <c r="M502" i="3"/>
  <c r="P502" i="3" s="1"/>
  <c r="N391" i="3"/>
  <c r="N389" i="3" s="1"/>
  <c r="P350" i="3"/>
  <c r="O306" i="3"/>
  <c r="P282" i="3"/>
  <c r="P266" i="3"/>
  <c r="M264" i="3"/>
  <c r="P264" i="3" s="1"/>
  <c r="L229" i="3"/>
  <c r="L209" i="3"/>
  <c r="O209" i="3" s="1"/>
  <c r="K190" i="3"/>
  <c r="O189" i="3"/>
  <c r="P186" i="3"/>
  <c r="O170" i="3"/>
  <c r="M155" i="3"/>
  <c r="P155" i="3" s="1"/>
  <c r="O137" i="3"/>
  <c r="I130" i="3"/>
  <c r="K130" i="3" s="1"/>
  <c r="O71" i="3"/>
  <c r="O46" i="3"/>
  <c r="M19" i="3"/>
  <c r="L639" i="1"/>
  <c r="O639" i="1" s="1"/>
  <c r="J595" i="1"/>
  <c r="K828" i="3"/>
  <c r="K825" i="3"/>
  <c r="K822" i="3"/>
  <c r="N786" i="3"/>
  <c r="N770" i="3"/>
  <c r="N737" i="3"/>
  <c r="K673" i="3"/>
  <c r="L469" i="3"/>
  <c r="L467" i="3" s="1"/>
  <c r="I434" i="3"/>
  <c r="K434" i="3" s="1"/>
  <c r="N404" i="3"/>
  <c r="N402" i="3" s="1"/>
  <c r="M405" i="3"/>
  <c r="P405" i="3" s="1"/>
  <c r="O350" i="3"/>
  <c r="M348" i="3"/>
  <c r="P348" i="3" s="1"/>
  <c r="L334" i="3"/>
  <c r="O334" i="3" s="1"/>
  <c r="N317" i="3"/>
  <c r="N315" i="3" s="1"/>
  <c r="L300" i="3"/>
  <c r="L298" i="3" s="1"/>
  <c r="O298" i="3" s="1"/>
  <c r="O282" i="3"/>
  <c r="L263" i="3"/>
  <c r="L261" i="3" s="1"/>
  <c r="L238" i="3"/>
  <c r="O238" i="3" s="1"/>
  <c r="O186" i="3"/>
  <c r="P96" i="3"/>
  <c r="L94" i="3"/>
  <c r="O94" i="3" s="1"/>
  <c r="M12" i="3"/>
  <c r="L477" i="3"/>
  <c r="O477" i="3" s="1"/>
  <c r="K370" i="3"/>
  <c r="P806" i="3"/>
  <c r="M770" i="3"/>
  <c r="P770" i="3" s="1"/>
  <c r="M737" i="3"/>
  <c r="P737" i="3" s="1"/>
  <c r="L687" i="3"/>
  <c r="O687" i="3" s="1"/>
  <c r="K672" i="3"/>
  <c r="O634" i="3"/>
  <c r="K437" i="3"/>
  <c r="L405" i="3"/>
  <c r="O405" i="3" s="1"/>
  <c r="K355" i="3"/>
  <c r="L348" i="3"/>
  <c r="O348" i="3" s="1"/>
  <c r="P333" i="3"/>
  <c r="N331" i="3"/>
  <c r="O331" i="3" s="1"/>
  <c r="M280" i="3"/>
  <c r="P280" i="3" s="1"/>
  <c r="K244" i="3"/>
  <c r="P168" i="3"/>
  <c r="M151" i="3"/>
  <c r="M149" i="3" s="1"/>
  <c r="L125" i="3"/>
  <c r="O125" i="3" s="1"/>
  <c r="N122" i="3"/>
  <c r="K99" i="3"/>
  <c r="P93" i="3"/>
  <c r="O91" i="3"/>
  <c r="M59" i="3"/>
  <c r="P59" i="3" s="1"/>
  <c r="N56" i="3"/>
  <c r="P56" i="3" s="1"/>
  <c r="P35" i="3"/>
  <c r="P549" i="3"/>
  <c r="M547" i="3"/>
  <c r="P547" i="3" s="1"/>
  <c r="M546" i="3"/>
  <c r="P546" i="3" s="1"/>
  <c r="J721" i="3"/>
  <c r="K721" i="3" s="1"/>
  <c r="K828" i="2"/>
  <c r="K825" i="2"/>
  <c r="K822" i="2"/>
  <c r="J722" i="2"/>
  <c r="K722" i="2" s="1"/>
  <c r="K674" i="2"/>
  <c r="O449" i="2"/>
  <c r="L347" i="2"/>
  <c r="L345" i="2" s="1"/>
  <c r="O690" i="3"/>
  <c r="L657" i="3"/>
  <c r="O657" i="3" s="1"/>
  <c r="N631" i="3"/>
  <c r="N629" i="3" s="1"/>
  <c r="O557" i="3"/>
  <c r="L546" i="3"/>
  <c r="O535" i="3"/>
  <c r="L533" i="3"/>
  <c r="O533" i="3" s="1"/>
  <c r="L36" i="3"/>
  <c r="O36" i="3" s="1"/>
  <c r="L429" i="3"/>
  <c r="O429" i="3" s="1"/>
  <c r="O431" i="3"/>
  <c r="N33" i="3"/>
  <c r="N30" i="3" s="1"/>
  <c r="J364" i="3"/>
  <c r="O351" i="3"/>
  <c r="P323" i="3"/>
  <c r="M321" i="3"/>
  <c r="P321" i="3" s="1"/>
  <c r="P320" i="3"/>
  <c r="M318" i="3"/>
  <c r="P318" i="3" s="1"/>
  <c r="J143" i="3"/>
  <c r="J131" i="3" s="1"/>
  <c r="K144" i="3"/>
  <c r="K592" i="3"/>
  <c r="K340" i="1"/>
  <c r="I785" i="3"/>
  <c r="K785" i="3" s="1"/>
  <c r="K669" i="3"/>
  <c r="M629" i="3"/>
  <c r="P629" i="3" s="1"/>
  <c r="M545" i="3"/>
  <c r="P424" i="3"/>
  <c r="M422" i="3"/>
  <c r="P422" i="3" s="1"/>
  <c r="K576" i="3"/>
  <c r="I559" i="3"/>
  <c r="K628" i="1"/>
  <c r="K699" i="1"/>
  <c r="J708" i="1"/>
  <c r="K708" i="1" s="1"/>
  <c r="L392" i="2"/>
  <c r="O392" i="2" s="1"/>
  <c r="P331" i="2"/>
  <c r="O806" i="3"/>
  <c r="O787" i="3"/>
  <c r="P771" i="3"/>
  <c r="P755" i="3"/>
  <c r="P738" i="3"/>
  <c r="M690" i="3"/>
  <c r="P686" i="3"/>
  <c r="L658" i="3"/>
  <c r="O658" i="3" s="1"/>
  <c r="O656" i="3"/>
  <c r="K651" i="3"/>
  <c r="O630" i="3"/>
  <c r="J537" i="3"/>
  <c r="J522" i="3" s="1"/>
  <c r="L454" i="3"/>
  <c r="O454" i="3" s="1"/>
  <c r="I443" i="3"/>
  <c r="K443" i="3" s="1"/>
  <c r="I417" i="3"/>
  <c r="M419" i="3"/>
  <c r="P397" i="3"/>
  <c r="M395" i="3"/>
  <c r="P395" i="3" s="1"/>
  <c r="P394" i="3"/>
  <c r="M392" i="3"/>
  <c r="P392" i="3" s="1"/>
  <c r="O316" i="3"/>
  <c r="N789" i="3"/>
  <c r="K460" i="1"/>
  <c r="P46" i="2"/>
  <c r="K593" i="3"/>
  <c r="O420" i="3"/>
  <c r="P12" i="3"/>
  <c r="K675" i="3"/>
  <c r="O549" i="3"/>
  <c r="L547" i="3"/>
  <c r="O547" i="3" s="1"/>
  <c r="O390" i="3"/>
  <c r="O157" i="3"/>
  <c r="L155" i="3"/>
  <c r="O155" i="3" s="1"/>
  <c r="N135" i="3"/>
  <c r="N134" i="3"/>
  <c r="N132" i="3" s="1"/>
  <c r="L446" i="3"/>
  <c r="O446" i="3" s="1"/>
  <c r="N421" i="3"/>
  <c r="P421" i="3" s="1"/>
  <c r="L404" i="3"/>
  <c r="O404" i="3" s="1"/>
  <c r="K374" i="3"/>
  <c r="L330" i="3"/>
  <c r="L264" i="3"/>
  <c r="O264" i="3" s="1"/>
  <c r="I164" i="3"/>
  <c r="K164" i="3" s="1"/>
  <c r="K174" i="3"/>
  <c r="L152" i="3"/>
  <c r="O152" i="3" s="1"/>
  <c r="L33" i="3"/>
  <c r="L421" i="3"/>
  <c r="L391" i="3"/>
  <c r="O391" i="3" s="1"/>
  <c r="L317" i="3"/>
  <c r="O317" i="3" s="1"/>
  <c r="N300" i="3"/>
  <c r="N298" i="3" s="1"/>
  <c r="L249" i="3"/>
  <c r="O249" i="3" s="1"/>
  <c r="K235" i="3"/>
  <c r="N23" i="3"/>
  <c r="N21" i="3" s="1"/>
  <c r="N31" i="3"/>
  <c r="N26" i="3"/>
  <c r="N16" i="3" s="1"/>
  <c r="P19" i="3"/>
  <c r="L631" i="3"/>
  <c r="O631" i="3" s="1"/>
  <c r="N469" i="3"/>
  <c r="N467" i="3" s="1"/>
  <c r="L422" i="3"/>
  <c r="O422" i="3" s="1"/>
  <c r="P420" i="3"/>
  <c r="L395" i="3"/>
  <c r="O395" i="3" s="1"/>
  <c r="L392" i="3"/>
  <c r="O392" i="3" s="1"/>
  <c r="P390" i="3"/>
  <c r="N347" i="3"/>
  <c r="N345" i="3" s="1"/>
  <c r="L321" i="3"/>
  <c r="O321" i="3" s="1"/>
  <c r="L318" i="3"/>
  <c r="O318" i="3" s="1"/>
  <c r="P316" i="3"/>
  <c r="M300" i="3"/>
  <c r="N279" i="3"/>
  <c r="N277" i="3" s="1"/>
  <c r="O278" i="3"/>
  <c r="L230" i="3"/>
  <c r="L228" i="3"/>
  <c r="O184" i="3"/>
  <c r="O61" i="3"/>
  <c r="L59" i="3"/>
  <c r="O59" i="3" s="1"/>
  <c r="L55" i="3"/>
  <c r="M23" i="3"/>
  <c r="M29" i="3"/>
  <c r="P32" i="3"/>
  <c r="N525" i="3"/>
  <c r="N523" i="3" s="1"/>
  <c r="M472" i="3"/>
  <c r="N446" i="3"/>
  <c r="N444" i="3" s="1"/>
  <c r="K309" i="3"/>
  <c r="L267" i="3"/>
  <c r="O267" i="3" s="1"/>
  <c r="L198" i="3"/>
  <c r="O198" i="3" s="1"/>
  <c r="P91" i="3"/>
  <c r="K87" i="3"/>
  <c r="O58" i="3"/>
  <c r="L56" i="3"/>
  <c r="L23" i="3"/>
  <c r="L21" i="3" s="1"/>
  <c r="O15" i="3"/>
  <c r="O424" i="3"/>
  <c r="K287" i="3"/>
  <c r="K225" i="3"/>
  <c r="P152" i="3"/>
  <c r="I131" i="3"/>
  <c r="K131" i="3" s="1"/>
  <c r="K143" i="3"/>
  <c r="M26" i="3"/>
  <c r="M24" i="3" s="1"/>
  <c r="M15" i="3"/>
  <c r="M9" i="3" s="1"/>
  <c r="P25" i="3"/>
  <c r="L121" i="3"/>
  <c r="O121" i="3" s="1"/>
  <c r="M55" i="3"/>
  <c r="N19" i="3"/>
  <c r="N12" i="3"/>
  <c r="K224" i="3"/>
  <c r="K204" i="3"/>
  <c r="N183" i="3"/>
  <c r="N181" i="3" s="1"/>
  <c r="N167" i="3"/>
  <c r="N165" i="3" s="1"/>
  <c r="P154" i="3"/>
  <c r="O150" i="3"/>
  <c r="M134" i="3"/>
  <c r="P124" i="3"/>
  <c r="O120" i="3"/>
  <c r="K115" i="3"/>
  <c r="O93" i="3"/>
  <c r="I77" i="3"/>
  <c r="N68" i="3"/>
  <c r="N66" i="3" s="1"/>
  <c r="N43" i="3"/>
  <c r="N41" i="3" s="1"/>
  <c r="O35" i="3"/>
  <c r="O22" i="3"/>
  <c r="L19" i="3"/>
  <c r="L12" i="3"/>
  <c r="M183" i="3"/>
  <c r="M167" i="3"/>
  <c r="L134" i="3"/>
  <c r="N90" i="3"/>
  <c r="N88" i="3" s="1"/>
  <c r="I86" i="3"/>
  <c r="K86" i="3" s="1"/>
  <c r="O54" i="3"/>
  <c r="N44" i="3"/>
  <c r="M43" i="3"/>
  <c r="N29" i="3"/>
  <c r="L26" i="3"/>
  <c r="N15" i="3"/>
  <c r="N263" i="3"/>
  <c r="N261" i="3" s="1"/>
  <c r="K255" i="3"/>
  <c r="K215" i="3"/>
  <c r="K193" i="3"/>
  <c r="L183" i="3"/>
  <c r="L167" i="3"/>
  <c r="N151" i="3"/>
  <c r="K145" i="3"/>
  <c r="M90" i="3"/>
  <c r="K78" i="3"/>
  <c r="L68" i="3"/>
  <c r="O68" i="3" s="1"/>
  <c r="L43" i="3"/>
  <c r="L41" i="3" s="1"/>
  <c r="L29" i="3"/>
  <c r="N263" i="1"/>
  <c r="L657" i="2"/>
  <c r="L655" i="2" s="1"/>
  <c r="L447" i="2"/>
  <c r="O447" i="2" s="1"/>
  <c r="P306" i="2"/>
  <c r="L279" i="2"/>
  <c r="L277" i="2" s="1"/>
  <c r="O353" i="2"/>
  <c r="O350" i="2"/>
  <c r="P336" i="2"/>
  <c r="O333" i="2"/>
  <c r="K325" i="2"/>
  <c r="N317" i="2"/>
  <c r="N315" i="2" s="1"/>
  <c r="K176" i="2"/>
  <c r="L43" i="2"/>
  <c r="L41" i="2" s="1"/>
  <c r="L283" i="2"/>
  <c r="O283" i="2" s="1"/>
  <c r="O191" i="1"/>
  <c r="N231" i="1"/>
  <c r="O336" i="1"/>
  <c r="M392" i="2"/>
  <c r="P392" i="2" s="1"/>
  <c r="K379" i="2"/>
  <c r="K362" i="2"/>
  <c r="K340" i="2"/>
  <c r="P333" i="2"/>
  <c r="P56" i="1"/>
  <c r="P334" i="1"/>
  <c r="K821" i="1"/>
  <c r="K824" i="1"/>
  <c r="K827" i="1"/>
  <c r="J433" i="2"/>
  <c r="K433" i="2" s="1"/>
  <c r="O318" i="2"/>
  <c r="L198" i="2"/>
  <c r="O198" i="2" s="1"/>
  <c r="N228" i="1"/>
  <c r="J236" i="1"/>
  <c r="M263" i="1"/>
  <c r="M261" i="1" s="1"/>
  <c r="O479" i="1"/>
  <c r="K720" i="1"/>
  <c r="O791" i="2"/>
  <c r="K673" i="2"/>
  <c r="K435" i="2"/>
  <c r="P407" i="2"/>
  <c r="K355" i="2"/>
  <c r="L280" i="2"/>
  <c r="O280" i="2" s="1"/>
  <c r="L229" i="2"/>
  <c r="L209" i="2"/>
  <c r="O209" i="2" s="1"/>
  <c r="P71" i="2"/>
  <c r="L229" i="1"/>
  <c r="K244" i="1"/>
  <c r="M267" i="1"/>
  <c r="P267" i="1" s="1"/>
  <c r="O479" i="2"/>
  <c r="M317" i="2"/>
  <c r="M315" i="2" s="1"/>
  <c r="L228" i="2"/>
  <c r="L187" i="2"/>
  <c r="O187" i="2" s="1"/>
  <c r="L167" i="2"/>
  <c r="L165" i="2" s="1"/>
  <c r="M121" i="2"/>
  <c r="P121" i="2" s="1"/>
  <c r="M94" i="2"/>
  <c r="P94" i="2" s="1"/>
  <c r="L469" i="2"/>
  <c r="O469" i="2" s="1"/>
  <c r="P449" i="2"/>
  <c r="O157" i="2"/>
  <c r="N134" i="1"/>
  <c r="N132" i="1" s="1"/>
  <c r="K258" i="1"/>
  <c r="L469" i="1"/>
  <c r="L467" i="1" s="1"/>
  <c r="O690" i="2"/>
  <c r="I654" i="2"/>
  <c r="K654" i="2" s="1"/>
  <c r="K338" i="2"/>
  <c r="K309" i="2"/>
  <c r="L217" i="2"/>
  <c r="O217" i="2" s="1"/>
  <c r="K193" i="2"/>
  <c r="M151" i="2"/>
  <c r="M149" i="2" s="1"/>
  <c r="M90" i="2"/>
  <c r="M88" i="2" s="1"/>
  <c r="J194" i="1"/>
  <c r="K338" i="1"/>
  <c r="K489" i="1"/>
  <c r="K460" i="2"/>
  <c r="N300" i="2"/>
  <c r="N298" i="2" s="1"/>
  <c r="O93" i="2"/>
  <c r="K593" i="2"/>
  <c r="J592" i="2"/>
  <c r="K592" i="2" s="1"/>
  <c r="K190" i="1"/>
  <c r="K288" i="1"/>
  <c r="L555" i="1"/>
  <c r="O555" i="1" s="1"/>
  <c r="K827" i="2"/>
  <c r="N404" i="2"/>
  <c r="N402" i="2" s="1"/>
  <c r="K385" i="2"/>
  <c r="K236" i="2"/>
  <c r="K291" i="1"/>
  <c r="L300" i="1"/>
  <c r="L298" i="1" s="1"/>
  <c r="L392" i="1"/>
  <c r="O392" i="1" s="1"/>
  <c r="L395" i="1"/>
  <c r="O395" i="1" s="1"/>
  <c r="J679" i="1"/>
  <c r="J678" i="1" s="1"/>
  <c r="N808" i="2"/>
  <c r="L805" i="2"/>
  <c r="O805" i="2" s="1"/>
  <c r="L789" i="2"/>
  <c r="O789" i="2" s="1"/>
  <c r="N773" i="2"/>
  <c r="L754" i="2"/>
  <c r="O754" i="2" s="1"/>
  <c r="P634" i="2"/>
  <c r="N525" i="2"/>
  <c r="M472" i="2"/>
  <c r="M469" i="2" s="1"/>
  <c r="L454" i="2"/>
  <c r="O454" i="2" s="1"/>
  <c r="P410" i="2"/>
  <c r="K374" i="2"/>
  <c r="N351" i="2"/>
  <c r="O351" i="2" s="1"/>
  <c r="L231" i="2"/>
  <c r="M187" i="2"/>
  <c r="P187" i="2" s="1"/>
  <c r="N151" i="2"/>
  <c r="N149" i="2" s="1"/>
  <c r="J143" i="2"/>
  <c r="J131" i="2" s="1"/>
  <c r="I77" i="2"/>
  <c r="I65" i="2" s="1"/>
  <c r="K65" i="2" s="1"/>
  <c r="L72" i="2"/>
  <c r="O72" i="2" s="1"/>
  <c r="P49" i="2"/>
  <c r="K821" i="2"/>
  <c r="K569" i="2"/>
  <c r="M391" i="2"/>
  <c r="P391" i="2" s="1"/>
  <c r="L134" i="2"/>
  <c r="O134" i="2" s="1"/>
  <c r="J237" i="1"/>
  <c r="J226" i="1" s="1"/>
  <c r="J180" i="1" s="1"/>
  <c r="L230" i="1"/>
  <c r="I235" i="1"/>
  <c r="L231" i="1"/>
  <c r="J434" i="1"/>
  <c r="J418" i="1" s="1"/>
  <c r="L770" i="2"/>
  <c r="O770" i="2" s="1"/>
  <c r="K620" i="2"/>
  <c r="K594" i="2"/>
  <c r="N547" i="2"/>
  <c r="N504" i="2"/>
  <c r="N502" i="2" s="1"/>
  <c r="M404" i="2"/>
  <c r="P404" i="2" s="1"/>
  <c r="N391" i="2"/>
  <c r="N389" i="2" s="1"/>
  <c r="K370" i="2"/>
  <c r="L348" i="2"/>
  <c r="O348" i="2" s="1"/>
  <c r="M330" i="2"/>
  <c r="M328" i="2" s="1"/>
  <c r="K314" i="2"/>
  <c r="N279" i="2"/>
  <c r="M183" i="2"/>
  <c r="M181" i="2" s="1"/>
  <c r="I143" i="2"/>
  <c r="I131" i="2" s="1"/>
  <c r="K131" i="2" s="1"/>
  <c r="M68" i="2"/>
  <c r="P68" i="2" s="1"/>
  <c r="O61" i="2"/>
  <c r="L44" i="2"/>
  <c r="N15" i="2"/>
  <c r="K628" i="2"/>
  <c r="K824" i="2"/>
  <c r="K381" i="2"/>
  <c r="J364" i="2"/>
  <c r="N330" i="2"/>
  <c r="N328" i="2" s="1"/>
  <c r="K400" i="1"/>
  <c r="M405" i="1"/>
  <c r="P405" i="1" s="1"/>
  <c r="M687" i="1"/>
  <c r="M685" i="1" s="1"/>
  <c r="K826" i="2"/>
  <c r="K823" i="2"/>
  <c r="N754" i="2"/>
  <c r="J721" i="2"/>
  <c r="K721" i="2" s="1"/>
  <c r="N687" i="2"/>
  <c r="K647" i="2"/>
  <c r="M629" i="2"/>
  <c r="O472" i="2"/>
  <c r="P447" i="2"/>
  <c r="M446" i="2"/>
  <c r="M444" i="2" s="1"/>
  <c r="P444" i="2" s="1"/>
  <c r="L391" i="2"/>
  <c r="O391" i="2" s="1"/>
  <c r="O336" i="2"/>
  <c r="O331" i="2"/>
  <c r="P323" i="2"/>
  <c r="N263" i="2"/>
  <c r="N261" i="2" s="1"/>
  <c r="L249" i="2"/>
  <c r="O249" i="2" s="1"/>
  <c r="O186" i="2"/>
  <c r="J164" i="2"/>
  <c r="P140" i="2"/>
  <c r="L138" i="2"/>
  <c r="O138" i="2" s="1"/>
  <c r="L94" i="2"/>
  <c r="O94" i="2" s="1"/>
  <c r="M91" i="2"/>
  <c r="P91" i="2" s="1"/>
  <c r="I87" i="2"/>
  <c r="K87" i="2" s="1"/>
  <c r="I76" i="2"/>
  <c r="I64" i="2" s="1"/>
  <c r="K64" i="2" s="1"/>
  <c r="L68" i="2"/>
  <c r="L66" i="2" s="1"/>
  <c r="O66" i="2" s="1"/>
  <c r="M43" i="2"/>
  <c r="M41" i="2" s="1"/>
  <c r="N29" i="2"/>
  <c r="M167" i="2"/>
  <c r="M165" i="2" s="1"/>
  <c r="K359" i="2"/>
  <c r="P350" i="1"/>
  <c r="J465" i="1"/>
  <c r="K465" i="1" s="1"/>
  <c r="L788" i="1"/>
  <c r="L786" i="1" s="1"/>
  <c r="N685" i="2"/>
  <c r="K669" i="2"/>
  <c r="N631" i="2"/>
  <c r="P631" i="2" s="1"/>
  <c r="M549" i="2"/>
  <c r="M546" i="2" s="1"/>
  <c r="P546" i="2" s="1"/>
  <c r="L502" i="2"/>
  <c r="O502" i="2" s="1"/>
  <c r="L470" i="2"/>
  <c r="O470" i="2" s="1"/>
  <c r="K462" i="2"/>
  <c r="L446" i="2"/>
  <c r="O446" i="2" s="1"/>
  <c r="P397" i="2"/>
  <c r="K369" i="2"/>
  <c r="P320" i="2"/>
  <c r="M318" i="2"/>
  <c r="P318" i="2" s="1"/>
  <c r="N227" i="2"/>
  <c r="M171" i="2"/>
  <c r="P171" i="2" s="1"/>
  <c r="M168" i="2"/>
  <c r="P168" i="2" s="1"/>
  <c r="P137" i="2"/>
  <c r="L135" i="2"/>
  <c r="O135" i="2" s="1"/>
  <c r="O124" i="2"/>
  <c r="N121" i="2"/>
  <c r="N119" i="2" s="1"/>
  <c r="P89" i="2"/>
  <c r="P74" i="2"/>
  <c r="L55" i="2"/>
  <c r="L53" i="2" s="1"/>
  <c r="N770" i="2"/>
  <c r="K576" i="2"/>
  <c r="J559" i="2"/>
  <c r="P46" i="1"/>
  <c r="L55" i="1"/>
  <c r="L53" i="1" s="1"/>
  <c r="M134" i="1"/>
  <c r="P134" i="1" s="1"/>
  <c r="K224" i="1"/>
  <c r="K311" i="1"/>
  <c r="L408" i="1"/>
  <c r="O408" i="1" s="1"/>
  <c r="I442" i="1"/>
  <c r="K442" i="1" s="1"/>
  <c r="M805" i="2"/>
  <c r="P805" i="2" s="1"/>
  <c r="K800" i="2"/>
  <c r="K725" i="2"/>
  <c r="L688" i="2"/>
  <c r="M690" i="2"/>
  <c r="O660" i="2"/>
  <c r="L658" i="2"/>
  <c r="O658" i="2" s="1"/>
  <c r="L639" i="2"/>
  <c r="O639" i="2" s="1"/>
  <c r="K577" i="2"/>
  <c r="K560" i="2"/>
  <c r="J537" i="2"/>
  <c r="J522" i="2" s="1"/>
  <c r="L526" i="2"/>
  <c r="O526" i="2" s="1"/>
  <c r="M528" i="2"/>
  <c r="L525" i="2"/>
  <c r="P420" i="2"/>
  <c r="O407" i="2"/>
  <c r="L395" i="2"/>
  <c r="O395" i="2" s="1"/>
  <c r="J327" i="2"/>
  <c r="P184" i="2"/>
  <c r="P303" i="2"/>
  <c r="M300" i="2"/>
  <c r="M298" i="2" s="1"/>
  <c r="O184" i="2"/>
  <c r="O154" i="2"/>
  <c r="N152" i="2"/>
  <c r="O152" i="2" s="1"/>
  <c r="J76" i="1"/>
  <c r="J64" i="1" s="1"/>
  <c r="M90" i="1"/>
  <c r="M88" i="1" s="1"/>
  <c r="J112" i="1"/>
  <c r="L134" i="1"/>
  <c r="L132" i="1" s="1"/>
  <c r="M183" i="1"/>
  <c r="M181" i="1" s="1"/>
  <c r="N230" i="1"/>
  <c r="J235" i="1"/>
  <c r="N249" i="1"/>
  <c r="K290" i="1"/>
  <c r="K312" i="1"/>
  <c r="K435" i="1"/>
  <c r="K495" i="1"/>
  <c r="I785" i="1"/>
  <c r="N739" i="2"/>
  <c r="N737" i="2" s="1"/>
  <c r="N657" i="2"/>
  <c r="N655" i="2" s="1"/>
  <c r="K651" i="2"/>
  <c r="O634" i="2"/>
  <c r="L631" i="2"/>
  <c r="K465" i="2"/>
  <c r="I434" i="2"/>
  <c r="L33" i="2"/>
  <c r="L31" i="2" s="1"/>
  <c r="M424" i="2"/>
  <c r="O424" i="2"/>
  <c r="O410" i="2"/>
  <c r="P403" i="2"/>
  <c r="K378" i="2"/>
  <c r="K360" i="2"/>
  <c r="N347" i="2"/>
  <c r="O346" i="2"/>
  <c r="L330" i="2"/>
  <c r="O303" i="2"/>
  <c r="L301" i="2"/>
  <c r="O301" i="2" s="1"/>
  <c r="L300" i="2"/>
  <c r="L298" i="2" s="1"/>
  <c r="P278" i="2"/>
  <c r="P154" i="2"/>
  <c r="M152" i="2"/>
  <c r="I522" i="2"/>
  <c r="M502" i="2"/>
  <c r="P502" i="2" s="1"/>
  <c r="P503" i="2"/>
  <c r="O468" i="2"/>
  <c r="N33" i="2"/>
  <c r="N422" i="2"/>
  <c r="O422" i="2" s="1"/>
  <c r="K81" i="1"/>
  <c r="J100" i="1"/>
  <c r="K100" i="1" s="1"/>
  <c r="L228" i="1"/>
  <c r="M770" i="2"/>
  <c r="P770" i="2" s="1"/>
  <c r="N688" i="2"/>
  <c r="L687" i="2"/>
  <c r="O687" i="2" s="1"/>
  <c r="K675" i="2"/>
  <c r="P660" i="2"/>
  <c r="M657" i="2"/>
  <c r="M632" i="2"/>
  <c r="P632" i="2" s="1"/>
  <c r="M545" i="2"/>
  <c r="P555" i="2"/>
  <c r="L546" i="2"/>
  <c r="O546" i="2" s="1"/>
  <c r="L547" i="2"/>
  <c r="O547" i="2" s="1"/>
  <c r="L533" i="2"/>
  <c r="O533" i="2" s="1"/>
  <c r="O535" i="2"/>
  <c r="L36" i="2"/>
  <c r="O36" i="2" s="1"/>
  <c r="N523" i="2"/>
  <c r="K437" i="2"/>
  <c r="L421" i="2"/>
  <c r="P350" i="2"/>
  <c r="M348" i="2"/>
  <c r="P348" i="2" s="1"/>
  <c r="P299" i="2"/>
  <c r="J288" i="2"/>
  <c r="J275" i="2" s="1"/>
  <c r="K275" i="2" s="1"/>
  <c r="P157" i="2"/>
  <c r="M155" i="2"/>
  <c r="P155" i="2" s="1"/>
  <c r="N229" i="1"/>
  <c r="L525" i="1"/>
  <c r="L523" i="1" s="1"/>
  <c r="K647" i="1"/>
  <c r="J729" i="1"/>
  <c r="K729" i="1" s="1"/>
  <c r="K723" i="2"/>
  <c r="O686" i="2"/>
  <c r="L632" i="2"/>
  <c r="O632" i="2" s="1"/>
  <c r="O557" i="2"/>
  <c r="O528" i="2"/>
  <c r="K327" i="2"/>
  <c r="O323" i="2"/>
  <c r="L317" i="2"/>
  <c r="L321" i="2"/>
  <c r="O321" i="2" s="1"/>
  <c r="O299" i="2"/>
  <c r="I276" i="2"/>
  <c r="K276" i="2" s="1"/>
  <c r="K287" i="2"/>
  <c r="P282" i="2"/>
  <c r="M280" i="2"/>
  <c r="P280" i="2" s="1"/>
  <c r="M279" i="2"/>
  <c r="K237" i="2"/>
  <c r="P124" i="2"/>
  <c r="M122" i="2"/>
  <c r="P122" i="2" s="1"/>
  <c r="O44" i="1"/>
  <c r="J621" i="1"/>
  <c r="K621" i="1" s="1"/>
  <c r="N690" i="1"/>
  <c r="N687" i="1" s="1"/>
  <c r="N685" i="1" s="1"/>
  <c r="N786" i="2"/>
  <c r="L786" i="2"/>
  <c r="O786" i="2" s="1"/>
  <c r="M737" i="2"/>
  <c r="P737" i="2" s="1"/>
  <c r="O445" i="2"/>
  <c r="L404" i="2"/>
  <c r="I364" i="2"/>
  <c r="P353" i="2"/>
  <c r="M351" i="2"/>
  <c r="M347" i="2"/>
  <c r="M301" i="2"/>
  <c r="P301" i="2" s="1"/>
  <c r="I233" i="2"/>
  <c r="K233" i="2" s="1"/>
  <c r="I248" i="2"/>
  <c r="K248" i="2" s="1"/>
  <c r="I208" i="2"/>
  <c r="K208" i="2" s="1"/>
  <c r="K215" i="2"/>
  <c r="K98" i="2"/>
  <c r="I86" i="2"/>
  <c r="K86" i="2" s="1"/>
  <c r="P54" i="2"/>
  <c r="L26" i="2"/>
  <c r="L24" i="2" s="1"/>
  <c r="N23" i="2"/>
  <c r="N21" i="2" s="1"/>
  <c r="L429" i="2"/>
  <c r="O429" i="2" s="1"/>
  <c r="M389" i="2"/>
  <c r="P389" i="2" s="1"/>
  <c r="O320" i="2"/>
  <c r="L238" i="2"/>
  <c r="K190" i="2"/>
  <c r="L183" i="2"/>
  <c r="O58" i="2"/>
  <c r="N55" i="2"/>
  <c r="N56" i="2"/>
  <c r="O56" i="2" s="1"/>
  <c r="L12" i="2"/>
  <c r="L19" i="2"/>
  <c r="O22" i="2"/>
  <c r="O306" i="2"/>
  <c r="L304" i="2"/>
  <c r="O304" i="2" s="1"/>
  <c r="P285" i="2"/>
  <c r="M283" i="2"/>
  <c r="P283" i="2" s="1"/>
  <c r="P269" i="2"/>
  <c r="M267" i="2"/>
  <c r="P267" i="2" s="1"/>
  <c r="P266" i="2"/>
  <c r="M264" i="2"/>
  <c r="P264" i="2" s="1"/>
  <c r="M263" i="2"/>
  <c r="K164" i="2"/>
  <c r="P61" i="2"/>
  <c r="M59" i="2"/>
  <c r="P58" i="2"/>
  <c r="M56" i="2"/>
  <c r="M23" i="2"/>
  <c r="M21" i="2" s="1"/>
  <c r="M55" i="2"/>
  <c r="K365" i="2"/>
  <c r="O173" i="2"/>
  <c r="L171" i="2"/>
  <c r="O171" i="2" s="1"/>
  <c r="O170" i="2"/>
  <c r="L168" i="2"/>
  <c r="O168" i="2" s="1"/>
  <c r="O266" i="2"/>
  <c r="K174" i="2"/>
  <c r="K100" i="2"/>
  <c r="L91" i="2"/>
  <c r="O91" i="2" s="1"/>
  <c r="P15" i="2"/>
  <c r="P150" i="2"/>
  <c r="K145" i="2"/>
  <c r="P120" i="2"/>
  <c r="L90" i="2"/>
  <c r="L88" i="2" s="1"/>
  <c r="O35" i="2"/>
  <c r="P262" i="2"/>
  <c r="P127" i="2"/>
  <c r="M125" i="2"/>
  <c r="P125" i="2" s="1"/>
  <c r="N59" i="2"/>
  <c r="O59" i="2" s="1"/>
  <c r="M26" i="2"/>
  <c r="L29" i="2"/>
  <c r="L23" i="2"/>
  <c r="N12" i="2"/>
  <c r="O15" i="2"/>
  <c r="K271" i="2"/>
  <c r="L263" i="2"/>
  <c r="P186" i="2"/>
  <c r="O182" i="2"/>
  <c r="P170" i="2"/>
  <c r="O166" i="2"/>
  <c r="K159" i="2"/>
  <c r="L151" i="2"/>
  <c r="O137" i="2"/>
  <c r="L121" i="2"/>
  <c r="P93" i="2"/>
  <c r="O89" i="2"/>
  <c r="O71" i="2"/>
  <c r="O49" i="2"/>
  <c r="O46" i="2"/>
  <c r="P35" i="2"/>
  <c r="N26" i="2"/>
  <c r="P22" i="2"/>
  <c r="M19" i="2"/>
  <c r="M12" i="2"/>
  <c r="L267" i="2"/>
  <c r="O267" i="2" s="1"/>
  <c r="L264" i="2"/>
  <c r="O264" i="2" s="1"/>
  <c r="K244" i="2"/>
  <c r="N134" i="2"/>
  <c r="N132" i="2" s="1"/>
  <c r="I130" i="2"/>
  <c r="K130" i="2" s="1"/>
  <c r="L125" i="2"/>
  <c r="O125" i="2" s="1"/>
  <c r="K115" i="2"/>
  <c r="K79" i="2"/>
  <c r="N68" i="2"/>
  <c r="N66" i="2" s="1"/>
  <c r="N43" i="2"/>
  <c r="N41" i="2" s="1"/>
  <c r="K224" i="2"/>
  <c r="K204" i="2"/>
  <c r="N183" i="2"/>
  <c r="N167" i="2"/>
  <c r="N165" i="2" s="1"/>
  <c r="M134" i="2"/>
  <c r="N90" i="2"/>
  <c r="N44" i="2"/>
  <c r="P44" i="2" s="1"/>
  <c r="M34" i="2"/>
  <c r="P34" i="2" s="1"/>
  <c r="M29" i="2"/>
  <c r="O96" i="1"/>
  <c r="L94" i="1"/>
  <c r="O94" i="1" s="1"/>
  <c r="P397" i="1"/>
  <c r="M391" i="1"/>
  <c r="P391" i="1" s="1"/>
  <c r="M395" i="1"/>
  <c r="P395" i="1" s="1"/>
  <c r="L658" i="1"/>
  <c r="L657" i="1"/>
  <c r="L655" i="1" s="1"/>
  <c r="P69" i="1"/>
  <c r="P125" i="1"/>
  <c r="N301" i="1"/>
  <c r="P301" i="1" s="1"/>
  <c r="N300" i="1"/>
  <c r="N298" i="1" s="1"/>
  <c r="K433" i="1"/>
  <c r="I417" i="1"/>
  <c r="K417" i="1" s="1"/>
  <c r="M279" i="1"/>
  <c r="M277" i="1" s="1"/>
  <c r="P49" i="1"/>
  <c r="M26" i="1"/>
  <c r="M16" i="1" s="1"/>
  <c r="M14" i="1" s="1"/>
  <c r="M47" i="1"/>
  <c r="P47" i="1" s="1"/>
  <c r="I197" i="1"/>
  <c r="K197" i="1" s="1"/>
  <c r="K204" i="1"/>
  <c r="L422" i="1"/>
  <c r="L33" i="1"/>
  <c r="L31" i="1" s="1"/>
  <c r="L36" i="1"/>
  <c r="O36" i="1" s="1"/>
  <c r="O61" i="1"/>
  <c r="L72" i="1"/>
  <c r="O72" i="1" s="1"/>
  <c r="L122" i="1"/>
  <c r="O122" i="1" s="1"/>
  <c r="K145" i="1"/>
  <c r="L217" i="1"/>
  <c r="K223" i="1"/>
  <c r="M304" i="1"/>
  <c r="P304" i="1" s="1"/>
  <c r="O350" i="1"/>
  <c r="N404" i="1"/>
  <c r="N402" i="1" s="1"/>
  <c r="K541" i="1"/>
  <c r="K671" i="1"/>
  <c r="M788" i="1"/>
  <c r="P61" i="1"/>
  <c r="K146" i="1"/>
  <c r="K148" i="1"/>
  <c r="M167" i="1"/>
  <c r="M165" i="1" s="1"/>
  <c r="O170" i="1"/>
  <c r="K176" i="1"/>
  <c r="L321" i="1"/>
  <c r="O321" i="1" s="1"/>
  <c r="L330" i="1"/>
  <c r="L328" i="1" s="1"/>
  <c r="J327" i="1"/>
  <c r="K327" i="1" s="1"/>
  <c r="K360" i="1"/>
  <c r="K369" i="1"/>
  <c r="M404" i="1"/>
  <c r="M402" i="1" s="1"/>
  <c r="P402" i="1" s="1"/>
  <c r="K438" i="1"/>
  <c r="L533" i="1"/>
  <c r="O533" i="1" s="1"/>
  <c r="K542" i="1"/>
  <c r="I654" i="1"/>
  <c r="K700" i="1"/>
  <c r="N791" i="1"/>
  <c r="N788" i="1" s="1"/>
  <c r="N786" i="1" s="1"/>
  <c r="O71" i="1"/>
  <c r="J77" i="1"/>
  <c r="J65" i="1" s="1"/>
  <c r="K113" i="1"/>
  <c r="K116" i="1"/>
  <c r="O127" i="1"/>
  <c r="K144" i="1"/>
  <c r="O154" i="1"/>
  <c r="L183" i="1"/>
  <c r="L187" i="1"/>
  <c r="O187" i="1" s="1"/>
  <c r="K247" i="1"/>
  <c r="K370" i="1"/>
  <c r="K385" i="1"/>
  <c r="N472" i="1"/>
  <c r="N470" i="1" s="1"/>
  <c r="P470" i="1" s="1"/>
  <c r="K487" i="1"/>
  <c r="K492" i="1"/>
  <c r="K643" i="1"/>
  <c r="L26" i="1"/>
  <c r="P71" i="1"/>
  <c r="K104" i="1"/>
  <c r="K109" i="1"/>
  <c r="P140" i="1"/>
  <c r="N198" i="1"/>
  <c r="K225" i="1"/>
  <c r="K255" i="1"/>
  <c r="K310" i="1"/>
  <c r="M330" i="1"/>
  <c r="M328" i="1" s="1"/>
  <c r="K443" i="1"/>
  <c r="K483" i="1"/>
  <c r="K538" i="1"/>
  <c r="J620" i="1"/>
  <c r="K620" i="1" s="1"/>
  <c r="M632" i="1"/>
  <c r="K723" i="1"/>
  <c r="K822" i="1"/>
  <c r="K825" i="1"/>
  <c r="K828" i="1"/>
  <c r="O184" i="1"/>
  <c r="K260" i="1"/>
  <c r="L405" i="1"/>
  <c r="O405" i="1" s="1"/>
  <c r="M44" i="1"/>
  <c r="P44" i="1" s="1"/>
  <c r="K131" i="1"/>
  <c r="L43" i="1"/>
  <c r="L41" i="1" s="1"/>
  <c r="M59" i="1"/>
  <c r="P59" i="1" s="1"/>
  <c r="M68" i="1"/>
  <c r="M66" i="1" s="1"/>
  <c r="K79" i="1"/>
  <c r="K82" i="1"/>
  <c r="K86" i="1"/>
  <c r="L90" i="1"/>
  <c r="L88" i="1" s="1"/>
  <c r="K98" i="1"/>
  <c r="K102" i="1"/>
  <c r="K106" i="1"/>
  <c r="K110" i="1"/>
  <c r="K114" i="1"/>
  <c r="L125" i="1"/>
  <c r="O125" i="1" s="1"/>
  <c r="I216" i="1"/>
  <c r="K216" i="1" s="1"/>
  <c r="I236" i="1"/>
  <c r="P266" i="1"/>
  <c r="P303" i="1"/>
  <c r="K325" i="1"/>
  <c r="L421" i="1"/>
  <c r="L419" i="1" s="1"/>
  <c r="K440" i="1"/>
  <c r="I434" i="1"/>
  <c r="I418" i="1" s="1"/>
  <c r="M446" i="1"/>
  <c r="M444" i="1" s="1"/>
  <c r="M187" i="1"/>
  <c r="P187" i="1" s="1"/>
  <c r="M23" i="1"/>
  <c r="M55" i="1"/>
  <c r="M53" i="1" s="1"/>
  <c r="M72" i="1"/>
  <c r="P72" i="1" s="1"/>
  <c r="K80" i="1"/>
  <c r="K83" i="1"/>
  <c r="K99" i="1"/>
  <c r="K103" i="1"/>
  <c r="K107" i="1"/>
  <c r="K111" i="1"/>
  <c r="K115" i="1"/>
  <c r="L121" i="1"/>
  <c r="L119" i="1" s="1"/>
  <c r="K143" i="1"/>
  <c r="N151" i="1"/>
  <c r="N149" i="1" s="1"/>
  <c r="M151" i="1"/>
  <c r="K159" i="1"/>
  <c r="N168" i="1"/>
  <c r="P168" i="1" s="1"/>
  <c r="P170" i="1"/>
  <c r="L209" i="1"/>
  <c r="K214" i="1"/>
  <c r="I237" i="1"/>
  <c r="N238" i="1"/>
  <c r="K271" i="1"/>
  <c r="N279" i="1"/>
  <c r="K293" i="1"/>
  <c r="M300" i="1"/>
  <c r="L347" i="1"/>
  <c r="L345" i="1" s="1"/>
  <c r="I364" i="1"/>
  <c r="K378" i="1"/>
  <c r="N391" i="1"/>
  <c r="N389" i="1" s="1"/>
  <c r="K537" i="1"/>
  <c r="L151" i="1"/>
  <c r="O151" i="1" s="1"/>
  <c r="I248" i="1"/>
  <c r="K248" i="1" s="1"/>
  <c r="M91" i="1"/>
  <c r="L152" i="1"/>
  <c r="O152" i="1" s="1"/>
  <c r="L167" i="1"/>
  <c r="L165" i="1" s="1"/>
  <c r="L171" i="1"/>
  <c r="O171" i="1" s="1"/>
  <c r="I233" i="1"/>
  <c r="L317" i="1"/>
  <c r="L315" i="1" s="1"/>
  <c r="L348" i="1"/>
  <c r="P410" i="1"/>
  <c r="K462" i="1"/>
  <c r="P32" i="1"/>
  <c r="M43" i="1"/>
  <c r="M41" i="1" s="1"/>
  <c r="M408" i="1"/>
  <c r="P408" i="1" s="1"/>
  <c r="L47" i="1"/>
  <c r="O47" i="1" s="1"/>
  <c r="M121" i="1"/>
  <c r="M119" i="1" s="1"/>
  <c r="M94" i="1"/>
  <c r="P94" i="1" s="1"/>
  <c r="L155" i="1"/>
  <c r="O155" i="1" s="1"/>
  <c r="P280" i="1"/>
  <c r="P282" i="1"/>
  <c r="N348" i="1"/>
  <c r="K381" i="1"/>
  <c r="M392" i="1"/>
  <c r="P392" i="1" s="1"/>
  <c r="K130" i="1"/>
  <c r="O49" i="1"/>
  <c r="O58" i="1"/>
  <c r="L59" i="1"/>
  <c r="O59" i="1" s="1"/>
  <c r="M122" i="1"/>
  <c r="P122" i="1" s="1"/>
  <c r="N167" i="1"/>
  <c r="I174" i="1"/>
  <c r="I164" i="1" s="1"/>
  <c r="K164" i="1" s="1"/>
  <c r="N209" i="1"/>
  <c r="N217" i="1"/>
  <c r="L238" i="1"/>
  <c r="L249" i="1"/>
  <c r="J275" i="1"/>
  <c r="K275" i="1" s="1"/>
  <c r="M283" i="1"/>
  <c r="P283" i="1" s="1"/>
  <c r="K294" i="1"/>
  <c r="L334" i="1"/>
  <c r="O334" i="1" s="1"/>
  <c r="O353" i="1"/>
  <c r="K379" i="1"/>
  <c r="M546" i="1"/>
  <c r="M544" i="1" s="1"/>
  <c r="J560" i="1"/>
  <c r="K560" i="1" s="1"/>
  <c r="K644" i="1"/>
  <c r="K649" i="1"/>
  <c r="N424" i="1"/>
  <c r="P424" i="1" s="1"/>
  <c r="K522" i="1"/>
  <c r="N528" i="1"/>
  <c r="N526" i="1" s="1"/>
  <c r="O526" i="1" s="1"/>
  <c r="J569" i="1"/>
  <c r="K569" i="1" s="1"/>
  <c r="J583" i="1"/>
  <c r="J577" i="1" s="1"/>
  <c r="K577" i="1" s="1"/>
  <c r="J604" i="1"/>
  <c r="K670" i="1"/>
  <c r="K674" i="1"/>
  <c r="K485" i="1"/>
  <c r="J466" i="1"/>
  <c r="K466" i="1" s="1"/>
  <c r="J568" i="1"/>
  <c r="K568" i="1" s="1"/>
  <c r="J582" i="1"/>
  <c r="J576" i="1" s="1"/>
  <c r="J603" i="1"/>
  <c r="J675" i="1"/>
  <c r="J701" i="1"/>
  <c r="K701" i="1" s="1"/>
  <c r="J785" i="1"/>
  <c r="K823" i="1"/>
  <c r="K826" i="1"/>
  <c r="K728" i="1"/>
  <c r="J561" i="1"/>
  <c r="K561" i="1" s="1"/>
  <c r="K651" i="1"/>
  <c r="K672" i="1"/>
  <c r="K725" i="1"/>
  <c r="O29" i="1"/>
  <c r="O19" i="1"/>
  <c r="P12" i="1"/>
  <c r="M9" i="1"/>
  <c r="L12" i="1"/>
  <c r="N26" i="1"/>
  <c r="P42" i="1"/>
  <c r="N23" i="1"/>
  <c r="O32" i="1"/>
  <c r="L69" i="1"/>
  <c r="O69" i="1" s="1"/>
  <c r="I77" i="1"/>
  <c r="N91" i="1"/>
  <c r="O91" i="1" s="1"/>
  <c r="P93" i="1"/>
  <c r="O282" i="1"/>
  <c r="L280" i="1"/>
  <c r="O280" i="1" s="1"/>
  <c r="L279" i="1"/>
  <c r="O15" i="1"/>
  <c r="L56" i="1"/>
  <c r="O56" i="1" s="1"/>
  <c r="O46" i="1"/>
  <c r="P58" i="1"/>
  <c r="K78" i="1"/>
  <c r="K84" i="1"/>
  <c r="P89" i="1"/>
  <c r="P29" i="1"/>
  <c r="N43" i="1"/>
  <c r="L68" i="1"/>
  <c r="I112" i="1"/>
  <c r="P137" i="1"/>
  <c r="N183" i="1"/>
  <c r="N181" i="1" s="1"/>
  <c r="P186" i="1"/>
  <c r="O137" i="1"/>
  <c r="N135" i="1"/>
  <c r="O135" i="1" s="1"/>
  <c r="P154" i="1"/>
  <c r="M152" i="1"/>
  <c r="P152" i="1" s="1"/>
  <c r="O266" i="1"/>
  <c r="L264" i="1"/>
  <c r="O269" i="1"/>
  <c r="L267" i="1"/>
  <c r="O267" i="1" s="1"/>
  <c r="M34" i="1"/>
  <c r="P34" i="1" s="1"/>
  <c r="L23" i="1"/>
  <c r="N55" i="1"/>
  <c r="N68" i="1"/>
  <c r="N66" i="1" s="1"/>
  <c r="I76" i="1"/>
  <c r="K87" i="1"/>
  <c r="N90" i="1"/>
  <c r="O93" i="1"/>
  <c r="N121" i="1"/>
  <c r="P133" i="1"/>
  <c r="O140" i="1"/>
  <c r="N138" i="1"/>
  <c r="O138" i="1" s="1"/>
  <c r="O150" i="1"/>
  <c r="N331" i="1"/>
  <c r="O331" i="1" s="1"/>
  <c r="P333" i="1"/>
  <c r="N330" i="1"/>
  <c r="P157" i="1"/>
  <c r="M155" i="1"/>
  <c r="P155" i="1" s="1"/>
  <c r="M135" i="1"/>
  <c r="M138" i="1"/>
  <c r="P150" i="1"/>
  <c r="O186" i="1"/>
  <c r="O306" i="1"/>
  <c r="L304" i="1"/>
  <c r="O304" i="1" s="1"/>
  <c r="O333" i="1"/>
  <c r="K365" i="1"/>
  <c r="J364" i="1"/>
  <c r="M629" i="1"/>
  <c r="N12" i="1"/>
  <c r="P127" i="1"/>
  <c r="P184" i="1"/>
  <c r="P189" i="1"/>
  <c r="L198" i="1"/>
  <c r="K246" i="1"/>
  <c r="K257" i="1"/>
  <c r="K287" i="1"/>
  <c r="N317" i="1"/>
  <c r="N315" i="1" s="1"/>
  <c r="N321" i="1"/>
  <c r="O285" i="1"/>
  <c r="L283" i="1"/>
  <c r="O283" i="1" s="1"/>
  <c r="J355" i="1"/>
  <c r="K355" i="1" s="1"/>
  <c r="K362" i="1"/>
  <c r="O390" i="1"/>
  <c r="M171" i="1"/>
  <c r="P171" i="1" s="1"/>
  <c r="K193" i="1"/>
  <c r="K276" i="1"/>
  <c r="O318" i="1"/>
  <c r="K215" i="1"/>
  <c r="I208" i="1"/>
  <c r="K208" i="1" s="1"/>
  <c r="O303" i="1"/>
  <c r="L301" i="1"/>
  <c r="K309" i="1"/>
  <c r="I297" i="1"/>
  <c r="K297" i="1" s="1"/>
  <c r="P320" i="1"/>
  <c r="M317" i="1"/>
  <c r="M318" i="1"/>
  <c r="P318" i="1" s="1"/>
  <c r="P316" i="1"/>
  <c r="N347" i="1"/>
  <c r="P353" i="1"/>
  <c r="L391" i="1"/>
  <c r="O391" i="1" s="1"/>
  <c r="M421" i="1"/>
  <c r="K437" i="1"/>
  <c r="N549" i="1"/>
  <c r="N264" i="1"/>
  <c r="P264" i="1" s="1"/>
  <c r="J314" i="1"/>
  <c r="K314" i="1" s="1"/>
  <c r="P336" i="1"/>
  <c r="K374" i="1"/>
  <c r="K412" i="1"/>
  <c r="O431" i="1"/>
  <c r="M469" i="1"/>
  <c r="P504" i="1"/>
  <c r="L631" i="1"/>
  <c r="L629" i="1" s="1"/>
  <c r="M657" i="1"/>
  <c r="M655" i="1" s="1"/>
  <c r="O320" i="1"/>
  <c r="N351" i="1"/>
  <c r="K372" i="1"/>
  <c r="L404" i="1"/>
  <c r="O404" i="1" s="1"/>
  <c r="L446" i="1"/>
  <c r="L444" i="1" s="1"/>
  <c r="L454" i="1"/>
  <c r="O454" i="1" s="1"/>
  <c r="K498" i="1"/>
  <c r="O545" i="1"/>
  <c r="J596" i="1"/>
  <c r="N634" i="1"/>
  <c r="P634" i="1" s="1"/>
  <c r="L685" i="1"/>
  <c r="J721" i="1"/>
  <c r="K721" i="1" s="1"/>
  <c r="K726" i="1"/>
  <c r="P787" i="1"/>
  <c r="O503" i="1"/>
  <c r="L546" i="1"/>
  <c r="L544" i="1" s="1"/>
  <c r="M321" i="1"/>
  <c r="P321" i="1" s="1"/>
  <c r="M347" i="1"/>
  <c r="K359" i="1"/>
  <c r="K439" i="1"/>
  <c r="N449" i="1"/>
  <c r="O449" i="1" s="1"/>
  <c r="N505" i="1"/>
  <c r="N660" i="1"/>
  <c r="K801" i="1"/>
  <c r="L688" i="1"/>
  <c r="J722" i="1"/>
  <c r="K722" i="1" s="1"/>
  <c r="L805" i="1"/>
  <c r="O805" i="1" s="1"/>
  <c r="M805" i="1"/>
  <c r="P805" i="1" s="1"/>
  <c r="N740" i="1"/>
  <c r="N757" i="1"/>
  <c r="N773" i="1"/>
  <c r="P55" i="5" l="1"/>
  <c r="P404" i="19"/>
  <c r="J275" i="19"/>
  <c r="K275" i="19" s="1"/>
  <c r="O43" i="23"/>
  <c r="O391" i="23"/>
  <c r="O658" i="23"/>
  <c r="M632" i="22"/>
  <c r="P632" i="22" s="1"/>
  <c r="M402" i="23"/>
  <c r="P402" i="23" s="1"/>
  <c r="M658" i="23"/>
  <c r="P658" i="23" s="1"/>
  <c r="O263" i="23"/>
  <c r="M657" i="23"/>
  <c r="P657" i="23" s="1"/>
  <c r="M389" i="23"/>
  <c r="P389" i="23" s="1"/>
  <c r="L298" i="23"/>
  <c r="O298" i="23" s="1"/>
  <c r="K288" i="22"/>
  <c r="O330" i="23"/>
  <c r="P348" i="23"/>
  <c r="K364" i="22"/>
  <c r="I418" i="22"/>
  <c r="K418" i="22" s="1"/>
  <c r="M402" i="21"/>
  <c r="P402" i="21" s="1"/>
  <c r="N20" i="22"/>
  <c r="N18" i="22" s="1"/>
  <c r="P330" i="22"/>
  <c r="L66" i="23"/>
  <c r="O66" i="23" s="1"/>
  <c r="M298" i="23"/>
  <c r="P298" i="23" s="1"/>
  <c r="L132" i="23"/>
  <c r="O132" i="23" s="1"/>
  <c r="P263" i="21"/>
  <c r="P90" i="23"/>
  <c r="P331" i="23"/>
  <c r="K143" i="23"/>
  <c r="L402" i="23"/>
  <c r="O402" i="23" s="1"/>
  <c r="M119" i="23"/>
  <c r="P119" i="23" s="1"/>
  <c r="O91" i="23"/>
  <c r="O90" i="23"/>
  <c r="P183" i="23"/>
  <c r="P330" i="23"/>
  <c r="O183" i="22"/>
  <c r="M315" i="23"/>
  <c r="P315" i="23" s="1"/>
  <c r="O88" i="23"/>
  <c r="O56" i="23"/>
  <c r="N181" i="22"/>
  <c r="O181" i="22" s="1"/>
  <c r="O21" i="23"/>
  <c r="M277" i="23"/>
  <c r="P277" i="23" s="1"/>
  <c r="P347" i="23"/>
  <c r="P44" i="23"/>
  <c r="L165" i="23"/>
  <c r="O165" i="23" s="1"/>
  <c r="O301" i="22"/>
  <c r="L34" i="23"/>
  <c r="O34" i="23" s="1"/>
  <c r="O183" i="23"/>
  <c r="M328" i="23"/>
  <c r="P328" i="23" s="1"/>
  <c r="P88" i="23"/>
  <c r="O44" i="23"/>
  <c r="L181" i="23"/>
  <c r="O181" i="23" s="1"/>
  <c r="L328" i="23"/>
  <c r="O328" i="23" s="1"/>
  <c r="L786" i="23"/>
  <c r="O786" i="23" s="1"/>
  <c r="M66" i="23"/>
  <c r="P66" i="23" s="1"/>
  <c r="L261" i="23"/>
  <c r="O261" i="23" s="1"/>
  <c r="O688" i="23"/>
  <c r="O53" i="23"/>
  <c r="I64" i="23"/>
  <c r="K64" i="23" s="1"/>
  <c r="P167" i="23"/>
  <c r="L629" i="23"/>
  <c r="O629" i="23" s="1"/>
  <c r="O55" i="23"/>
  <c r="M149" i="23"/>
  <c r="P149" i="23" s="1"/>
  <c r="P43" i="23"/>
  <c r="L467" i="23"/>
  <c r="O467" i="23" s="1"/>
  <c r="K593" i="23"/>
  <c r="K433" i="22"/>
  <c r="N16" i="23"/>
  <c r="N14" i="23" s="1"/>
  <c r="N24" i="23"/>
  <c r="O24" i="23" s="1"/>
  <c r="L16" i="23"/>
  <c r="O26" i="23"/>
  <c r="M20" i="23"/>
  <c r="P23" i="23"/>
  <c r="P29" i="23"/>
  <c r="K174" i="23"/>
  <c r="I164" i="23"/>
  <c r="K164" i="23" s="1"/>
  <c r="M16" i="23"/>
  <c r="P26" i="23"/>
  <c r="O19" i="23"/>
  <c r="L30" i="23"/>
  <c r="N20" i="23"/>
  <c r="N18" i="23" s="1"/>
  <c r="N33" i="23"/>
  <c r="O33" i="23" s="1"/>
  <c r="N422" i="23"/>
  <c r="O422" i="23" s="1"/>
  <c r="N421" i="23"/>
  <c r="O424" i="23"/>
  <c r="M21" i="23"/>
  <c r="P21" i="23" s="1"/>
  <c r="P264" i="22"/>
  <c r="M9" i="23"/>
  <c r="P12" i="23"/>
  <c r="P263" i="23"/>
  <c r="M261" i="23"/>
  <c r="P261" i="23" s="1"/>
  <c r="L227" i="23"/>
  <c r="O238" i="23"/>
  <c r="P165" i="23"/>
  <c r="N41" i="23"/>
  <c r="P41" i="23" s="1"/>
  <c r="I180" i="23"/>
  <c r="K180" i="23" s="1"/>
  <c r="L277" i="23"/>
  <c r="O277" i="23" s="1"/>
  <c r="O347" i="23"/>
  <c r="O546" i="23"/>
  <c r="L544" i="23"/>
  <c r="O544" i="23" s="1"/>
  <c r="O151" i="23"/>
  <c r="L149" i="23"/>
  <c r="O149" i="23" s="1"/>
  <c r="L9" i="23"/>
  <c r="O12" i="23"/>
  <c r="L119" i="22"/>
  <c r="O119" i="22" s="1"/>
  <c r="L315" i="22"/>
  <c r="O315" i="22" s="1"/>
  <c r="O631" i="22"/>
  <c r="P19" i="23"/>
  <c r="N9" i="23"/>
  <c r="P55" i="23"/>
  <c r="P56" i="23"/>
  <c r="P181" i="23"/>
  <c r="M24" i="23"/>
  <c r="L315" i="23"/>
  <c r="O315" i="23" s="1"/>
  <c r="K433" i="23"/>
  <c r="I417" i="23"/>
  <c r="K417" i="23" s="1"/>
  <c r="L685" i="23"/>
  <c r="O685" i="23" s="1"/>
  <c r="O525" i="23"/>
  <c r="L523" i="23"/>
  <c r="O523" i="23" s="1"/>
  <c r="O345" i="23"/>
  <c r="L444" i="23"/>
  <c r="M132" i="23"/>
  <c r="P132" i="23" s="1"/>
  <c r="P134" i="23"/>
  <c r="P53" i="23"/>
  <c r="P690" i="23"/>
  <c r="M688" i="23"/>
  <c r="P688" i="23" s="1"/>
  <c r="M687" i="23"/>
  <c r="P449" i="23"/>
  <c r="M446" i="23"/>
  <c r="M447" i="23"/>
  <c r="P447" i="23" s="1"/>
  <c r="M544" i="23"/>
  <c r="P544" i="23" s="1"/>
  <c r="P545" i="23"/>
  <c r="N21" i="22"/>
  <c r="O21" i="22" s="1"/>
  <c r="O121" i="23"/>
  <c r="L119" i="23"/>
  <c r="O119" i="23" s="1"/>
  <c r="L13" i="23"/>
  <c r="L11" i="23" s="1"/>
  <c r="L20" i="23"/>
  <c r="O23" i="23"/>
  <c r="K77" i="23"/>
  <c r="I65" i="23"/>
  <c r="K65" i="23" s="1"/>
  <c r="M33" i="23"/>
  <c r="M13" i="23" s="1"/>
  <c r="M421" i="23"/>
  <c r="M422" i="23"/>
  <c r="P422" i="23" s="1"/>
  <c r="P424" i="23"/>
  <c r="O351" i="23"/>
  <c r="P351" i="23"/>
  <c r="P345" i="23"/>
  <c r="O422" i="21"/>
  <c r="O43" i="22"/>
  <c r="I65" i="22"/>
  <c r="K65" i="22" s="1"/>
  <c r="P53" i="22"/>
  <c r="O298" i="22"/>
  <c r="O44" i="22"/>
  <c r="L389" i="21"/>
  <c r="O389" i="21" s="1"/>
  <c r="P90" i="22"/>
  <c r="O264" i="22"/>
  <c r="O167" i="22"/>
  <c r="O56" i="22"/>
  <c r="O447" i="22"/>
  <c r="I164" i="22"/>
  <c r="K164" i="22" s="1"/>
  <c r="M33" i="22"/>
  <c r="M31" i="22" s="1"/>
  <c r="P31" i="22" s="1"/>
  <c r="O168" i="19"/>
  <c r="M526" i="19"/>
  <c r="P526" i="19" s="1"/>
  <c r="O59" i="22"/>
  <c r="N328" i="22"/>
  <c r="P328" i="22" s="1"/>
  <c r="O151" i="22"/>
  <c r="O68" i="22"/>
  <c r="P183" i="22"/>
  <c r="M467" i="22"/>
  <c r="P467" i="22" s="1"/>
  <c r="O165" i="22"/>
  <c r="P43" i="21"/>
  <c r="L66" i="21"/>
  <c r="O66" i="21" s="1"/>
  <c r="O263" i="21"/>
  <c r="O300" i="22"/>
  <c r="P43" i="22"/>
  <c r="P55" i="22"/>
  <c r="L227" i="22"/>
  <c r="P421" i="22"/>
  <c r="P279" i="22"/>
  <c r="L149" i="22"/>
  <c r="O149" i="22" s="1"/>
  <c r="O391" i="22"/>
  <c r="L389" i="22"/>
  <c r="O389" i="22" s="1"/>
  <c r="N66" i="22"/>
  <c r="O66" i="22" s="1"/>
  <c r="M261" i="21"/>
  <c r="P261" i="21" s="1"/>
  <c r="P88" i="22"/>
  <c r="I64" i="22"/>
  <c r="K64" i="22" s="1"/>
  <c r="N414" i="22"/>
  <c r="N41" i="22"/>
  <c r="O41" i="22" s="1"/>
  <c r="O546" i="22"/>
  <c r="M687" i="20"/>
  <c r="P687" i="20" s="1"/>
  <c r="M298" i="21"/>
  <c r="P298" i="21" s="1"/>
  <c r="P328" i="21"/>
  <c r="L34" i="22"/>
  <c r="O34" i="22" s="1"/>
  <c r="M315" i="22"/>
  <c r="P315" i="22" s="1"/>
  <c r="M631" i="22"/>
  <c r="M629" i="22" s="1"/>
  <c r="P629" i="22" s="1"/>
  <c r="P19" i="22"/>
  <c r="M298" i="22"/>
  <c r="P298" i="22" s="1"/>
  <c r="P300" i="22"/>
  <c r="L16" i="22"/>
  <c r="O26" i="22"/>
  <c r="L88" i="22"/>
  <c r="O88" i="22" s="1"/>
  <c r="O90" i="22"/>
  <c r="L24" i="22"/>
  <c r="O263" i="22"/>
  <c r="N261" i="22"/>
  <c r="O261" i="22" s="1"/>
  <c r="N30" i="22"/>
  <c r="N31" i="22"/>
  <c r="O19" i="22"/>
  <c r="N28" i="22"/>
  <c r="O421" i="22"/>
  <c r="L419" i="22"/>
  <c r="O657" i="22"/>
  <c r="L655" i="22"/>
  <c r="O655" i="22" s="1"/>
  <c r="K434" i="14"/>
  <c r="M16" i="22"/>
  <c r="P26" i="22"/>
  <c r="O55" i="22"/>
  <c r="L53" i="22"/>
  <c r="N9" i="22"/>
  <c r="N11" i="22"/>
  <c r="O31" i="22"/>
  <c r="L30" i="22"/>
  <c r="O33" i="22"/>
  <c r="L402" i="22"/>
  <c r="O402" i="22" s="1"/>
  <c r="O404" i="22"/>
  <c r="O331" i="22"/>
  <c r="L444" i="22"/>
  <c r="O444" i="22" s="1"/>
  <c r="M119" i="22"/>
  <c r="P119" i="22" s="1"/>
  <c r="P121" i="22"/>
  <c r="J543" i="22"/>
  <c r="K543" i="22" s="1"/>
  <c r="K559" i="22"/>
  <c r="M546" i="22"/>
  <c r="P549" i="22"/>
  <c r="M547" i="22"/>
  <c r="P547" i="22" s="1"/>
  <c r="M389" i="22"/>
  <c r="P389" i="22" s="1"/>
  <c r="N16" i="22"/>
  <c r="N14" i="22" s="1"/>
  <c r="N24" i="22"/>
  <c r="P24" i="22" s="1"/>
  <c r="L9" i="22"/>
  <c r="O12" i="22"/>
  <c r="O347" i="22"/>
  <c r="K237" i="22"/>
  <c r="I226" i="22"/>
  <c r="P347" i="22"/>
  <c r="M165" i="22"/>
  <c r="P165" i="22" s="1"/>
  <c r="P167" i="22"/>
  <c r="I131" i="22"/>
  <c r="K131" i="22" s="1"/>
  <c r="K143" i="22"/>
  <c r="O15" i="22"/>
  <c r="O544" i="22"/>
  <c r="M149" i="21"/>
  <c r="P149" i="21" s="1"/>
  <c r="L277" i="21"/>
  <c r="O277" i="21" s="1"/>
  <c r="I131" i="21"/>
  <c r="K131" i="21" s="1"/>
  <c r="M132" i="22"/>
  <c r="P132" i="22" s="1"/>
  <c r="M41" i="22"/>
  <c r="M149" i="22"/>
  <c r="P149" i="22" s="1"/>
  <c r="P151" i="22"/>
  <c r="P263" i="22"/>
  <c r="L523" i="22"/>
  <c r="O523" i="22" s="1"/>
  <c r="P277" i="22"/>
  <c r="P447" i="22"/>
  <c r="L786" i="22"/>
  <c r="O786" i="22" s="1"/>
  <c r="O788" i="22"/>
  <c r="O279" i="22"/>
  <c r="L328" i="22"/>
  <c r="O330" i="22"/>
  <c r="M402" i="22"/>
  <c r="P402" i="22" s="1"/>
  <c r="O629" i="22"/>
  <c r="O687" i="22"/>
  <c r="P470" i="22"/>
  <c r="L132" i="22"/>
  <c r="O132" i="22" s="1"/>
  <c r="O134" i="22"/>
  <c r="O470" i="22"/>
  <c r="P345" i="22"/>
  <c r="O345" i="22"/>
  <c r="L132" i="21"/>
  <c r="O132" i="21" s="1"/>
  <c r="M66" i="22"/>
  <c r="P68" i="22"/>
  <c r="M9" i="22"/>
  <c r="P12" i="22"/>
  <c r="L13" i="22"/>
  <c r="L20" i="22"/>
  <c r="O23" i="22"/>
  <c r="P419" i="22"/>
  <c r="M444" i="22"/>
  <c r="P444" i="22" s="1"/>
  <c r="P446" i="22"/>
  <c r="O277" i="22"/>
  <c r="L467" i="22"/>
  <c r="O467" i="22" s="1"/>
  <c r="P660" i="22"/>
  <c r="M658" i="22"/>
  <c r="P658" i="22" s="1"/>
  <c r="M657" i="22"/>
  <c r="M21" i="22"/>
  <c r="M20" i="22"/>
  <c r="P23" i="22"/>
  <c r="M688" i="22"/>
  <c r="P688" i="22" s="1"/>
  <c r="M687" i="22"/>
  <c r="P690" i="22"/>
  <c r="O685" i="22"/>
  <c r="P528" i="19"/>
  <c r="M523" i="19"/>
  <c r="P523" i="19" s="1"/>
  <c r="M657" i="19"/>
  <c r="P657" i="19" s="1"/>
  <c r="O184" i="21"/>
  <c r="P167" i="21"/>
  <c r="L261" i="21"/>
  <c r="O261" i="21" s="1"/>
  <c r="L523" i="21"/>
  <c r="O523" i="21" s="1"/>
  <c r="P347" i="20"/>
  <c r="M315" i="21"/>
  <c r="P315" i="21" s="1"/>
  <c r="M658" i="20"/>
  <c r="P658" i="20" s="1"/>
  <c r="P68" i="19"/>
  <c r="P690" i="20"/>
  <c r="M119" i="21"/>
  <c r="P119" i="21" s="1"/>
  <c r="M33" i="21"/>
  <c r="P33" i="21" s="1"/>
  <c r="O347" i="21"/>
  <c r="L227" i="21"/>
  <c r="K364" i="20"/>
  <c r="O687" i="20"/>
  <c r="O43" i="21"/>
  <c r="O56" i="21"/>
  <c r="O345" i="21"/>
  <c r="L467" i="21"/>
  <c r="O467" i="21" s="1"/>
  <c r="P263" i="20"/>
  <c r="P660" i="20"/>
  <c r="O263" i="20"/>
  <c r="P657" i="20"/>
  <c r="P330" i="21"/>
  <c r="P88" i="21"/>
  <c r="O181" i="21"/>
  <c r="P183" i="19"/>
  <c r="O547" i="20"/>
  <c r="O300" i="20"/>
  <c r="O91" i="21"/>
  <c r="M389" i="21"/>
  <c r="P389" i="21" s="1"/>
  <c r="L629" i="21"/>
  <c r="O629" i="21" s="1"/>
  <c r="M687" i="21"/>
  <c r="P687" i="21" s="1"/>
  <c r="M422" i="20"/>
  <c r="P422" i="20" s="1"/>
  <c r="P421" i="20"/>
  <c r="P690" i="21"/>
  <c r="O183" i="21"/>
  <c r="L786" i="21"/>
  <c r="O786" i="21" s="1"/>
  <c r="K434" i="21"/>
  <c r="I418" i="21"/>
  <c r="K418" i="21" s="1"/>
  <c r="M165" i="21"/>
  <c r="P165" i="21" s="1"/>
  <c r="K417" i="21"/>
  <c r="O347" i="20"/>
  <c r="M345" i="20"/>
  <c r="P345" i="20" s="1"/>
  <c r="P351" i="21"/>
  <c r="O688" i="21"/>
  <c r="O43" i="20"/>
  <c r="O134" i="20"/>
  <c r="M119" i="20"/>
  <c r="P119" i="20" s="1"/>
  <c r="N13" i="21"/>
  <c r="N11" i="21" s="1"/>
  <c r="N20" i="21"/>
  <c r="N41" i="21"/>
  <c r="O41" i="21" s="1"/>
  <c r="P181" i="21"/>
  <c r="P134" i="21"/>
  <c r="M132" i="21"/>
  <c r="P132" i="21" s="1"/>
  <c r="M9" i="21"/>
  <c r="P12" i="21"/>
  <c r="P29" i="21"/>
  <c r="K77" i="21"/>
  <c r="I65" i="21"/>
  <c r="K65" i="21" s="1"/>
  <c r="M277" i="21"/>
  <c r="P277" i="21" s="1"/>
  <c r="M16" i="21"/>
  <c r="M14" i="21" s="1"/>
  <c r="P26" i="21"/>
  <c r="P422" i="21"/>
  <c r="O90" i="21"/>
  <c r="L88" i="21"/>
  <c r="O88" i="21" s="1"/>
  <c r="P183" i="21"/>
  <c r="O317" i="21"/>
  <c r="L315" i="21"/>
  <c r="O315" i="21" s="1"/>
  <c r="N30" i="21"/>
  <c r="N31" i="21"/>
  <c r="L544" i="21"/>
  <c r="O544" i="21" s="1"/>
  <c r="O546" i="21"/>
  <c r="O168" i="21"/>
  <c r="N18" i="21"/>
  <c r="O121" i="21"/>
  <c r="L119" i="21"/>
  <c r="O119" i="21" s="1"/>
  <c r="N16" i="21"/>
  <c r="N14" i="21" s="1"/>
  <c r="N24" i="21"/>
  <c r="P24" i="21" s="1"/>
  <c r="I226" i="21"/>
  <c r="K237" i="21"/>
  <c r="N414" i="21"/>
  <c r="P660" i="19"/>
  <c r="L298" i="20"/>
  <c r="O298" i="20" s="1"/>
  <c r="P183" i="20"/>
  <c r="L655" i="20"/>
  <c r="O655" i="20" s="1"/>
  <c r="L13" i="21"/>
  <c r="L11" i="21" s="1"/>
  <c r="O23" i="21"/>
  <c r="L20" i="21"/>
  <c r="P68" i="21"/>
  <c r="M66" i="21"/>
  <c r="L34" i="21"/>
  <c r="O34" i="21" s="1"/>
  <c r="O19" i="21"/>
  <c r="O421" i="21"/>
  <c r="N21" i="21"/>
  <c r="O21" i="21" s="1"/>
  <c r="L328" i="21"/>
  <c r="O328" i="21" s="1"/>
  <c r="O330" i="21"/>
  <c r="P657" i="21"/>
  <c r="P90" i="21"/>
  <c r="K433" i="21"/>
  <c r="L419" i="21"/>
  <c r="O657" i="21"/>
  <c r="P347" i="21"/>
  <c r="M345" i="21"/>
  <c r="P345" i="21" s="1"/>
  <c r="I65" i="19"/>
  <c r="K65" i="19" s="1"/>
  <c r="L389" i="20"/>
  <c r="O389" i="20" s="1"/>
  <c r="P15" i="21"/>
  <c r="N9" i="21"/>
  <c r="O55" i="21"/>
  <c r="L53" i="21"/>
  <c r="I64" i="21"/>
  <c r="K64" i="21" s="1"/>
  <c r="K76" i="21"/>
  <c r="P152" i="18"/>
  <c r="O279" i="18"/>
  <c r="K434" i="19"/>
  <c r="L9" i="21"/>
  <c r="O12" i="21"/>
  <c r="I164" i="21"/>
  <c r="K164" i="21" s="1"/>
  <c r="K174" i="21"/>
  <c r="L30" i="21"/>
  <c r="O33" i="21"/>
  <c r="L31" i="21"/>
  <c r="N53" i="21"/>
  <c r="P53" i="21" s="1"/>
  <c r="P55" i="21"/>
  <c r="O655" i="21"/>
  <c r="L16" i="21"/>
  <c r="O26" i="21"/>
  <c r="L24" i="21"/>
  <c r="O44" i="19"/>
  <c r="M20" i="21"/>
  <c r="P23" i="21"/>
  <c r="M21" i="21"/>
  <c r="N28" i="21"/>
  <c r="O151" i="21"/>
  <c r="L149" i="21"/>
  <c r="O149" i="21" s="1"/>
  <c r="P168" i="21"/>
  <c r="L298" i="21"/>
  <c r="O298" i="21" s="1"/>
  <c r="L444" i="21"/>
  <c r="O444" i="21" s="1"/>
  <c r="O446" i="21"/>
  <c r="O404" i="21"/>
  <c r="L402" i="21"/>
  <c r="O402" i="21" s="1"/>
  <c r="O167" i="21"/>
  <c r="L165" i="21"/>
  <c r="O165" i="21" s="1"/>
  <c r="M544" i="21"/>
  <c r="P544" i="21" s="1"/>
  <c r="P655" i="21"/>
  <c r="O183" i="19"/>
  <c r="O56" i="20"/>
  <c r="O184" i="20"/>
  <c r="K364" i="19"/>
  <c r="L786" i="20"/>
  <c r="O786" i="20" s="1"/>
  <c r="M315" i="20"/>
  <c r="P315" i="20" s="1"/>
  <c r="O91" i="18"/>
  <c r="L419" i="19"/>
  <c r="O419" i="19" s="1"/>
  <c r="L34" i="20"/>
  <c r="O34" i="20" s="1"/>
  <c r="O68" i="20"/>
  <c r="L277" i="20"/>
  <c r="O277" i="20" s="1"/>
  <c r="L315" i="20"/>
  <c r="O315" i="20" s="1"/>
  <c r="O68" i="19"/>
  <c r="K785" i="19"/>
  <c r="P167" i="20"/>
  <c r="P424" i="20"/>
  <c r="P53" i="20"/>
  <c r="L523" i="20"/>
  <c r="O523" i="20" s="1"/>
  <c r="P300" i="20"/>
  <c r="L149" i="19"/>
  <c r="O149" i="19" s="1"/>
  <c r="P88" i="20"/>
  <c r="O88" i="20"/>
  <c r="L444" i="20"/>
  <c r="O444" i="20" s="1"/>
  <c r="P90" i="19"/>
  <c r="M66" i="20"/>
  <c r="P66" i="20" s="1"/>
  <c r="O469" i="20"/>
  <c r="O467" i="20"/>
  <c r="N544" i="20"/>
  <c r="N414" i="20" s="1"/>
  <c r="P181" i="20"/>
  <c r="M298" i="20"/>
  <c r="P298" i="20" s="1"/>
  <c r="M421" i="16"/>
  <c r="P421" i="16" s="1"/>
  <c r="P151" i="18"/>
  <c r="P660" i="18"/>
  <c r="L227" i="19"/>
  <c r="P347" i="19"/>
  <c r="P19" i="20"/>
  <c r="O90" i="20"/>
  <c r="L16" i="20"/>
  <c r="O26" i="20"/>
  <c r="O19" i="20"/>
  <c r="N13" i="20"/>
  <c r="N11" i="20" s="1"/>
  <c r="N20" i="20"/>
  <c r="N18" i="20" s="1"/>
  <c r="L419" i="20"/>
  <c r="P449" i="20"/>
  <c r="M446" i="20"/>
  <c r="M447" i="20"/>
  <c r="P447" i="20" s="1"/>
  <c r="O546" i="20"/>
  <c r="P547" i="20"/>
  <c r="O168" i="20"/>
  <c r="L13" i="20"/>
  <c r="L11" i="20" s="1"/>
  <c r="L20" i="20"/>
  <c r="O23" i="20"/>
  <c r="L9" i="20"/>
  <c r="O12" i="20"/>
  <c r="O330" i="20"/>
  <c r="L328" i="20"/>
  <c r="O328" i="20" s="1"/>
  <c r="M88" i="19"/>
  <c r="P88" i="19" s="1"/>
  <c r="O44" i="20"/>
  <c r="O151" i="20"/>
  <c r="L149" i="20"/>
  <c r="K434" i="20"/>
  <c r="I418" i="20"/>
  <c r="K418" i="20" s="1"/>
  <c r="L21" i="20"/>
  <c r="O21" i="20" s="1"/>
  <c r="L165" i="20"/>
  <c r="O165" i="20" s="1"/>
  <c r="O167" i="20"/>
  <c r="L629" i="20"/>
  <c r="O629" i="20" s="1"/>
  <c r="O631" i="20"/>
  <c r="N30" i="20"/>
  <c r="N31" i="20"/>
  <c r="O31" i="20" s="1"/>
  <c r="N16" i="20"/>
  <c r="N14" i="20" s="1"/>
  <c r="N24" i="20"/>
  <c r="P24" i="20" s="1"/>
  <c r="P404" i="20"/>
  <c r="M402" i="20"/>
  <c r="P402" i="20" s="1"/>
  <c r="M165" i="20"/>
  <c r="P165" i="20" s="1"/>
  <c r="P347" i="15"/>
  <c r="M447" i="18"/>
  <c r="P447" i="18" s="1"/>
  <c r="P44" i="19"/>
  <c r="O55" i="20"/>
  <c r="L53" i="20"/>
  <c r="O53" i="20" s="1"/>
  <c r="M41" i="20"/>
  <c r="L30" i="20"/>
  <c r="O33" i="20"/>
  <c r="M470" i="20"/>
  <c r="P470" i="20" s="1"/>
  <c r="M469" i="20"/>
  <c r="P472" i="20"/>
  <c r="N41" i="20"/>
  <c r="O41" i="20" s="1"/>
  <c r="M277" i="20"/>
  <c r="P277" i="20" s="1"/>
  <c r="P279" i="20"/>
  <c r="L227" i="20"/>
  <c r="O238" i="20"/>
  <c r="P419" i="20"/>
  <c r="L261" i="20"/>
  <c r="O261" i="20" s="1"/>
  <c r="L345" i="20"/>
  <c r="O345" i="20" s="1"/>
  <c r="M389" i="20"/>
  <c r="P389" i="20" s="1"/>
  <c r="M389" i="18"/>
  <c r="P389" i="18" s="1"/>
  <c r="P449" i="18"/>
  <c r="M657" i="18"/>
  <c r="P657" i="18" s="1"/>
  <c r="P167" i="19"/>
  <c r="P134" i="20"/>
  <c r="M132" i="20"/>
  <c r="P132" i="20" s="1"/>
  <c r="O121" i="20"/>
  <c r="L119" i="20"/>
  <c r="O119" i="20" s="1"/>
  <c r="P55" i="20"/>
  <c r="P90" i="20"/>
  <c r="K77" i="20"/>
  <c r="I65" i="20"/>
  <c r="K65" i="20" s="1"/>
  <c r="I164" i="20"/>
  <c r="K164" i="20" s="1"/>
  <c r="K174" i="20"/>
  <c r="I226" i="20"/>
  <c r="K237" i="20"/>
  <c r="M33" i="20"/>
  <c r="M261" i="20"/>
  <c r="P261" i="20" s="1"/>
  <c r="O404" i="20"/>
  <c r="L402" i="20"/>
  <c r="O402" i="20" s="1"/>
  <c r="L544" i="20"/>
  <c r="O544" i="20" s="1"/>
  <c r="K433" i="20"/>
  <c r="I417" i="20"/>
  <c r="K417" i="20" s="1"/>
  <c r="M544" i="20"/>
  <c r="P544" i="20" s="1"/>
  <c r="P545" i="20"/>
  <c r="J654" i="20"/>
  <c r="K654" i="20" s="1"/>
  <c r="K669" i="20"/>
  <c r="M631" i="20"/>
  <c r="M632" i="20"/>
  <c r="P632" i="20" s="1"/>
  <c r="P634" i="20"/>
  <c r="P44" i="18"/>
  <c r="O347" i="18"/>
  <c r="O330" i="18"/>
  <c r="N28" i="20"/>
  <c r="M16" i="20"/>
  <c r="P26" i="20"/>
  <c r="M9" i="20"/>
  <c r="P12" i="20"/>
  <c r="N9" i="20"/>
  <c r="P330" i="20"/>
  <c r="M328" i="20"/>
  <c r="P328" i="20" s="1"/>
  <c r="K76" i="20"/>
  <c r="I64" i="20"/>
  <c r="K64" i="20" s="1"/>
  <c r="O183" i="20"/>
  <c r="L181" i="20"/>
  <c r="O181" i="20" s="1"/>
  <c r="M21" i="20"/>
  <c r="P21" i="20" s="1"/>
  <c r="M13" i="20"/>
  <c r="M20" i="20"/>
  <c r="M18" i="20" s="1"/>
  <c r="P23" i="20"/>
  <c r="N149" i="20"/>
  <c r="P149" i="20" s="1"/>
  <c r="P151" i="20"/>
  <c r="I131" i="14"/>
  <c r="K131" i="14" s="1"/>
  <c r="L66" i="19"/>
  <c r="O66" i="19" s="1"/>
  <c r="P168" i="19"/>
  <c r="O43" i="19"/>
  <c r="O167" i="19"/>
  <c r="O263" i="19"/>
  <c r="K288" i="18"/>
  <c r="O53" i="16"/>
  <c r="O151" i="18"/>
  <c r="K434" i="18"/>
  <c r="M345" i="19"/>
  <c r="P345" i="19" s="1"/>
  <c r="M389" i="19"/>
  <c r="P389" i="19" s="1"/>
  <c r="L34" i="19"/>
  <c r="O34" i="19" s="1"/>
  <c r="M544" i="19"/>
  <c r="P544" i="19" s="1"/>
  <c r="O317" i="19"/>
  <c r="O330" i="16"/>
  <c r="M132" i="19"/>
  <c r="P132" i="19" s="1"/>
  <c r="L444" i="19"/>
  <c r="O444" i="19" s="1"/>
  <c r="N261" i="19"/>
  <c r="O261" i="19" s="1"/>
  <c r="K433" i="19"/>
  <c r="M629" i="18"/>
  <c r="P629" i="18" s="1"/>
  <c r="M165" i="19"/>
  <c r="M632" i="19"/>
  <c r="P632" i="19" s="1"/>
  <c r="N165" i="19"/>
  <c r="O165" i="19" s="1"/>
  <c r="O90" i="19"/>
  <c r="M149" i="19"/>
  <c r="P149" i="19" s="1"/>
  <c r="P634" i="19"/>
  <c r="O546" i="18"/>
  <c r="O631" i="19"/>
  <c r="P546" i="14"/>
  <c r="P404" i="18"/>
  <c r="P55" i="19"/>
  <c r="P348" i="19"/>
  <c r="O467" i="19"/>
  <c r="O422" i="19"/>
  <c r="P330" i="19"/>
  <c r="K237" i="19"/>
  <c r="I226" i="19"/>
  <c r="L132" i="19"/>
  <c r="O132" i="19" s="1"/>
  <c r="K76" i="19"/>
  <c r="I64" i="19"/>
  <c r="K64" i="19" s="1"/>
  <c r="O404" i="18"/>
  <c r="M315" i="18"/>
  <c r="P315" i="18" s="1"/>
  <c r="L119" i="18"/>
  <c r="O119" i="18" s="1"/>
  <c r="K374" i="19"/>
  <c r="O544" i="19"/>
  <c r="O121" i="19"/>
  <c r="O119" i="19"/>
  <c r="P66" i="19"/>
  <c r="O181" i="19"/>
  <c r="P328" i="19"/>
  <c r="O655" i="19"/>
  <c r="O469" i="19"/>
  <c r="O41" i="19"/>
  <c r="L544" i="16"/>
  <c r="O544" i="16" s="1"/>
  <c r="O328" i="18"/>
  <c r="P328" i="18"/>
  <c r="N9" i="19"/>
  <c r="P41" i="19"/>
  <c r="P43" i="19"/>
  <c r="I131" i="19"/>
  <c r="K131" i="19" s="1"/>
  <c r="K143" i="19"/>
  <c r="O347" i="19"/>
  <c r="L345" i="19"/>
  <c r="O345" i="19" s="1"/>
  <c r="M119" i="19"/>
  <c r="P119" i="19" s="1"/>
  <c r="P121" i="19"/>
  <c r="L523" i="19"/>
  <c r="O523" i="19" s="1"/>
  <c r="O629" i="19"/>
  <c r="M181" i="19"/>
  <c r="P181" i="19" s="1"/>
  <c r="L685" i="19"/>
  <c r="O685" i="19" s="1"/>
  <c r="O68" i="18"/>
  <c r="N30" i="19"/>
  <c r="N31" i="19"/>
  <c r="O31" i="19" s="1"/>
  <c r="L389" i="19"/>
  <c r="O389" i="19" s="1"/>
  <c r="O391" i="19"/>
  <c r="P318" i="19"/>
  <c r="O318" i="19"/>
  <c r="K537" i="19"/>
  <c r="L13" i="19"/>
  <c r="L11" i="19" s="1"/>
  <c r="L20" i="19"/>
  <c r="O23" i="19"/>
  <c r="O55" i="19"/>
  <c r="L53" i="19"/>
  <c r="O300" i="19"/>
  <c r="L298" i="19"/>
  <c r="O298" i="19" s="1"/>
  <c r="N13" i="19"/>
  <c r="N11" i="19" s="1"/>
  <c r="N20" i="19"/>
  <c r="N18" i="19" s="1"/>
  <c r="M298" i="19"/>
  <c r="P298" i="19" s="1"/>
  <c r="P629" i="19"/>
  <c r="P424" i="16"/>
  <c r="N28" i="19"/>
  <c r="M16" i="19"/>
  <c r="P26" i="19"/>
  <c r="O19" i="19"/>
  <c r="L402" i="19"/>
  <c r="O402" i="19" s="1"/>
  <c r="K522" i="19"/>
  <c r="P264" i="19"/>
  <c r="O264" i="19"/>
  <c r="P53" i="19"/>
  <c r="M469" i="19"/>
  <c r="M470" i="19"/>
  <c r="P470" i="19" s="1"/>
  <c r="P472" i="19"/>
  <c r="P631" i="19"/>
  <c r="M9" i="19"/>
  <c r="P12" i="19"/>
  <c r="M261" i="19"/>
  <c r="P263" i="19"/>
  <c r="L9" i="19"/>
  <c r="O12" i="19"/>
  <c r="L88" i="19"/>
  <c r="O88" i="19" s="1"/>
  <c r="M21" i="19"/>
  <c r="P21" i="19" s="1"/>
  <c r="M20" i="19"/>
  <c r="P23" i="19"/>
  <c r="P279" i="19"/>
  <c r="M277" i="19"/>
  <c r="P277" i="19" s="1"/>
  <c r="O279" i="19"/>
  <c r="L277" i="19"/>
  <c r="O277" i="19" s="1"/>
  <c r="M33" i="19"/>
  <c r="M421" i="19"/>
  <c r="M422" i="19"/>
  <c r="P422" i="19" s="1"/>
  <c r="P424" i="19"/>
  <c r="M788" i="19"/>
  <c r="P791" i="19"/>
  <c r="M789" i="19"/>
  <c r="P789" i="19" s="1"/>
  <c r="P19" i="19"/>
  <c r="L16" i="19"/>
  <c r="O26" i="19"/>
  <c r="N16" i="19"/>
  <c r="N14" i="19" s="1"/>
  <c r="N24" i="19"/>
  <c r="O24" i="19" s="1"/>
  <c r="L328" i="19"/>
  <c r="O328" i="19" s="1"/>
  <c r="O330" i="19"/>
  <c r="L21" i="19"/>
  <c r="O21" i="19" s="1"/>
  <c r="O91" i="19"/>
  <c r="P91" i="19"/>
  <c r="I543" i="19"/>
  <c r="K543" i="19" s="1"/>
  <c r="K559" i="19"/>
  <c r="O280" i="19"/>
  <c r="L30" i="19"/>
  <c r="O33" i="19"/>
  <c r="P317" i="19"/>
  <c r="N315" i="19"/>
  <c r="P315" i="19" s="1"/>
  <c r="K288" i="16"/>
  <c r="L389" i="16"/>
  <c r="O389" i="16" s="1"/>
  <c r="M20" i="18"/>
  <c r="M18" i="18" s="1"/>
  <c r="K433" i="18"/>
  <c r="O90" i="18"/>
  <c r="M419" i="18"/>
  <c r="P419" i="18" s="1"/>
  <c r="P634" i="18"/>
  <c r="O183" i="18"/>
  <c r="O263" i="18"/>
  <c r="O151" i="14"/>
  <c r="P300" i="18"/>
  <c r="P183" i="18"/>
  <c r="K77" i="14"/>
  <c r="P23" i="18"/>
  <c r="P90" i="18"/>
  <c r="P330" i="18"/>
  <c r="O658" i="18"/>
  <c r="O298" i="18"/>
  <c r="I164" i="18"/>
  <c r="K164" i="18" s="1"/>
  <c r="O404" i="15"/>
  <c r="P68" i="18"/>
  <c r="M33" i="18"/>
  <c r="M30" i="18" s="1"/>
  <c r="L181" i="18"/>
  <c r="O181" i="18" s="1"/>
  <c r="N277" i="18"/>
  <c r="O277" i="18" s="1"/>
  <c r="L685" i="18"/>
  <c r="O685" i="18" s="1"/>
  <c r="K593" i="18"/>
  <c r="P56" i="18"/>
  <c r="L786" i="18"/>
  <c r="O786" i="18" s="1"/>
  <c r="L149" i="18"/>
  <c r="O149" i="18" s="1"/>
  <c r="L132" i="18"/>
  <c r="O132" i="18" s="1"/>
  <c r="K592" i="18"/>
  <c r="O446" i="18"/>
  <c r="P167" i="16"/>
  <c r="P347" i="18"/>
  <c r="N345" i="18"/>
  <c r="O345" i="18" s="1"/>
  <c r="O525" i="18"/>
  <c r="P330" i="15"/>
  <c r="O43" i="18"/>
  <c r="M632" i="18"/>
  <c r="P632" i="18" s="1"/>
  <c r="O655" i="18"/>
  <c r="N16" i="18"/>
  <c r="N14" i="18" s="1"/>
  <c r="N24" i="18"/>
  <c r="P181" i="18"/>
  <c r="L16" i="18"/>
  <c r="L14" i="18" s="1"/>
  <c r="O26" i="18"/>
  <c r="L9" i="18"/>
  <c r="O12" i="18"/>
  <c r="M24" i="18"/>
  <c r="P24" i="18" s="1"/>
  <c r="M132" i="18"/>
  <c r="P132" i="18" s="1"/>
  <c r="O88" i="18"/>
  <c r="P55" i="18"/>
  <c r="O421" i="18"/>
  <c r="L419" i="18"/>
  <c r="O261" i="18"/>
  <c r="O15" i="18"/>
  <c r="O41" i="18"/>
  <c r="P279" i="18"/>
  <c r="J364" i="18"/>
  <c r="K364" i="18" s="1"/>
  <c r="L24" i="18"/>
  <c r="N544" i="18"/>
  <c r="N414" i="18" s="1"/>
  <c r="O165" i="18"/>
  <c r="M444" i="18"/>
  <c r="P444" i="18" s="1"/>
  <c r="P446" i="18"/>
  <c r="L132" i="14"/>
  <c r="O132" i="14" s="1"/>
  <c r="L66" i="15"/>
  <c r="O66" i="15" s="1"/>
  <c r="L444" i="16"/>
  <c r="O444" i="16" s="1"/>
  <c r="M165" i="18"/>
  <c r="P165" i="18" s="1"/>
  <c r="P167" i="18"/>
  <c r="L34" i="18"/>
  <c r="O34" i="18" s="1"/>
  <c r="M119" i="18"/>
  <c r="P119" i="18" s="1"/>
  <c r="O422" i="18"/>
  <c r="O167" i="18"/>
  <c r="L30" i="18"/>
  <c r="O33" i="18"/>
  <c r="P88" i="18"/>
  <c r="N66" i="18"/>
  <c r="P66" i="18" s="1"/>
  <c r="K77" i="18"/>
  <c r="I65" i="18"/>
  <c r="K65" i="18" s="1"/>
  <c r="O331" i="18"/>
  <c r="I543" i="18"/>
  <c r="K543" i="18" s="1"/>
  <c r="K559" i="18"/>
  <c r="P263" i="18"/>
  <c r="M261" i="18"/>
  <c r="P261" i="18" s="1"/>
  <c r="L629" i="18"/>
  <c r="O629" i="18" s="1"/>
  <c r="O391" i="18"/>
  <c r="L389" i="18"/>
  <c r="O389" i="18" s="1"/>
  <c r="O56" i="18"/>
  <c r="P55" i="16"/>
  <c r="O55" i="18"/>
  <c r="L53" i="18"/>
  <c r="O53" i="18" s="1"/>
  <c r="I226" i="18"/>
  <c r="K237" i="18"/>
  <c r="O44" i="18"/>
  <c r="L227" i="18"/>
  <c r="O238" i="18"/>
  <c r="I131" i="18"/>
  <c r="K131" i="18" s="1"/>
  <c r="K143" i="18"/>
  <c r="O469" i="18"/>
  <c r="M9" i="18"/>
  <c r="P12" i="18"/>
  <c r="N21" i="18"/>
  <c r="P21" i="18" s="1"/>
  <c r="N13" i="18"/>
  <c r="N20" i="18"/>
  <c r="M470" i="18"/>
  <c r="P470" i="18" s="1"/>
  <c r="M469" i="18"/>
  <c r="P472" i="18"/>
  <c r="M149" i="18"/>
  <c r="P149" i="18" s="1"/>
  <c r="O467" i="18"/>
  <c r="M298" i="18"/>
  <c r="P298" i="18" s="1"/>
  <c r="L13" i="18"/>
  <c r="L20" i="18"/>
  <c r="L18" i="18" s="1"/>
  <c r="O23" i="18"/>
  <c r="K76" i="18"/>
  <c r="I64" i="18"/>
  <c r="K64" i="18" s="1"/>
  <c r="I180" i="16"/>
  <c r="K180" i="16" s="1"/>
  <c r="O55" i="16"/>
  <c r="I543" i="16"/>
  <c r="K543" i="16" s="1"/>
  <c r="N28" i="18"/>
  <c r="P19" i="18"/>
  <c r="M16" i="18"/>
  <c r="P26" i="18"/>
  <c r="O317" i="18"/>
  <c r="L315" i="18"/>
  <c r="O315" i="18" s="1"/>
  <c r="P41" i="18"/>
  <c r="P43" i="18"/>
  <c r="O444" i="18"/>
  <c r="M688" i="18"/>
  <c r="P688" i="18" s="1"/>
  <c r="M687" i="18"/>
  <c r="P690" i="18"/>
  <c r="O19" i="18"/>
  <c r="M547" i="18"/>
  <c r="P547" i="18" s="1"/>
  <c r="M546" i="18"/>
  <c r="P549" i="18"/>
  <c r="O300" i="18"/>
  <c r="P53" i="18"/>
  <c r="N30" i="18"/>
  <c r="N31" i="18"/>
  <c r="O31" i="18" s="1"/>
  <c r="P658" i="18"/>
  <c r="P134" i="15"/>
  <c r="P347" i="16"/>
  <c r="P44" i="15"/>
  <c r="O546" i="15"/>
  <c r="P151" i="16"/>
  <c r="L655" i="16"/>
  <c r="O655" i="16" s="1"/>
  <c r="O347" i="16"/>
  <c r="M469" i="15"/>
  <c r="M467" i="15" s="1"/>
  <c r="P467" i="15" s="1"/>
  <c r="L467" i="15"/>
  <c r="O467" i="15" s="1"/>
  <c r="O525" i="15"/>
  <c r="O44" i="15"/>
  <c r="O43" i="16"/>
  <c r="P264" i="16"/>
  <c r="O21" i="16"/>
  <c r="I417" i="16"/>
  <c r="K417" i="16" s="1"/>
  <c r="L328" i="16"/>
  <c r="O328" i="16" s="1"/>
  <c r="P91" i="15"/>
  <c r="L227" i="16"/>
  <c r="K76" i="16"/>
  <c r="O300" i="16"/>
  <c r="L66" i="16"/>
  <c r="O66" i="16" s="1"/>
  <c r="L119" i="14"/>
  <c r="O119" i="14" s="1"/>
  <c r="O279" i="16"/>
  <c r="P183" i="16"/>
  <c r="L402" i="16"/>
  <c r="O402" i="16" s="1"/>
  <c r="P151" i="15"/>
  <c r="O44" i="16"/>
  <c r="L34" i="16"/>
  <c r="O34" i="16" s="1"/>
  <c r="O149" i="16"/>
  <c r="M315" i="16"/>
  <c r="P315" i="16" s="1"/>
  <c r="P351" i="16"/>
  <c r="K143" i="16"/>
  <c r="L315" i="16"/>
  <c r="O315" i="16" s="1"/>
  <c r="O317" i="16"/>
  <c r="L132" i="16"/>
  <c r="O132" i="16" s="1"/>
  <c r="O152" i="16"/>
  <c r="O151" i="16"/>
  <c r="O183" i="13"/>
  <c r="P404" i="14"/>
  <c r="P88" i="16"/>
  <c r="P549" i="16"/>
  <c r="M546" i="16"/>
  <c r="P546" i="16" s="1"/>
  <c r="M315" i="13"/>
  <c r="P315" i="13" s="1"/>
  <c r="M467" i="16"/>
  <c r="P467" i="16" s="1"/>
  <c r="O298" i="16"/>
  <c r="P687" i="16"/>
  <c r="N685" i="16"/>
  <c r="O685" i="16" s="1"/>
  <c r="P151" i="14"/>
  <c r="L389" i="15"/>
  <c r="O389" i="15" s="1"/>
  <c r="M402" i="15"/>
  <c r="P402" i="15" s="1"/>
  <c r="P90" i="16"/>
  <c r="N41" i="16"/>
  <c r="O41" i="16" s="1"/>
  <c r="M33" i="16"/>
  <c r="M31" i="16" s="1"/>
  <c r="M402" i="16"/>
  <c r="P402" i="16" s="1"/>
  <c r="P547" i="16"/>
  <c r="K174" i="15"/>
  <c r="M41" i="16"/>
  <c r="P44" i="16"/>
  <c r="P165" i="16"/>
  <c r="L467" i="16"/>
  <c r="O467" i="16" s="1"/>
  <c r="K417" i="13"/>
  <c r="M132" i="16"/>
  <c r="P132" i="16" s="1"/>
  <c r="O263" i="16"/>
  <c r="M389" i="16"/>
  <c r="P389" i="16" s="1"/>
  <c r="O121" i="16"/>
  <c r="L119" i="16"/>
  <c r="O119" i="16" s="1"/>
  <c r="O547" i="16"/>
  <c r="L685" i="13"/>
  <c r="O685" i="13" s="1"/>
  <c r="M688" i="16"/>
  <c r="P688" i="16" s="1"/>
  <c r="O56" i="16"/>
  <c r="M53" i="16"/>
  <c r="P53" i="16" s="1"/>
  <c r="P690" i="16"/>
  <c r="O90" i="16"/>
  <c r="P88" i="14"/>
  <c r="P43" i="15"/>
  <c r="P152" i="16"/>
  <c r="M277" i="16"/>
  <c r="P277" i="16" s="1"/>
  <c r="P279" i="16"/>
  <c r="L16" i="16"/>
  <c r="O26" i="16"/>
  <c r="M149" i="16"/>
  <c r="P149" i="16" s="1"/>
  <c r="P300" i="16"/>
  <c r="M298" i="16"/>
  <c r="P298" i="16" s="1"/>
  <c r="O88" i="16"/>
  <c r="L277" i="16"/>
  <c r="O277" i="16" s="1"/>
  <c r="O19" i="16"/>
  <c r="O687" i="16"/>
  <c r="M119" i="16"/>
  <c r="P119" i="16" s="1"/>
  <c r="P59" i="16"/>
  <c r="P9" i="16"/>
  <c r="L24" i="16"/>
  <c r="O183" i="16"/>
  <c r="L9" i="16"/>
  <c r="O12" i="16"/>
  <c r="M345" i="16"/>
  <c r="P345" i="16" s="1"/>
  <c r="N30" i="16"/>
  <c r="N28" i="16" s="1"/>
  <c r="N31" i="16"/>
  <c r="L523" i="16"/>
  <c r="O523" i="16" s="1"/>
  <c r="L30" i="16"/>
  <c r="O33" i="16"/>
  <c r="K434" i="16"/>
  <c r="I418" i="16"/>
  <c r="K418" i="16" s="1"/>
  <c r="O631" i="16"/>
  <c r="L629" i="16"/>
  <c r="O629" i="16" s="1"/>
  <c r="N9" i="16"/>
  <c r="M66" i="16"/>
  <c r="P66" i="16" s="1"/>
  <c r="M629" i="16"/>
  <c r="P629" i="16" s="1"/>
  <c r="M21" i="16"/>
  <c r="P21" i="16" s="1"/>
  <c r="M20" i="16"/>
  <c r="P23" i="16"/>
  <c r="N24" i="15"/>
  <c r="P19" i="16"/>
  <c r="N181" i="16"/>
  <c r="O181" i="16" s="1"/>
  <c r="K77" i="16"/>
  <c r="I65" i="16"/>
  <c r="K65" i="16" s="1"/>
  <c r="K364" i="16"/>
  <c r="N414" i="16"/>
  <c r="P29" i="16"/>
  <c r="M16" i="16"/>
  <c r="P26" i="16"/>
  <c r="L13" i="16"/>
  <c r="L11" i="16" s="1"/>
  <c r="L20" i="16"/>
  <c r="L18" i="16" s="1"/>
  <c r="O23" i="16"/>
  <c r="P263" i="16"/>
  <c r="M261" i="16"/>
  <c r="P261" i="16" s="1"/>
  <c r="O421" i="16"/>
  <c r="L419" i="16"/>
  <c r="N13" i="16"/>
  <c r="N11" i="16" s="1"/>
  <c r="N20" i="16"/>
  <c r="N18" i="16" s="1"/>
  <c r="P56" i="16"/>
  <c r="O261" i="16"/>
  <c r="L345" i="16"/>
  <c r="O345" i="16" s="1"/>
  <c r="N16" i="16"/>
  <c r="N14" i="16" s="1"/>
  <c r="N24" i="16"/>
  <c r="P24" i="16" s="1"/>
  <c r="P330" i="16"/>
  <c r="M328" i="16"/>
  <c r="P328" i="16" s="1"/>
  <c r="L165" i="16"/>
  <c r="O167" i="16"/>
  <c r="K365" i="16"/>
  <c r="M389" i="15"/>
  <c r="P389" i="15" s="1"/>
  <c r="O53" i="15"/>
  <c r="K76" i="15"/>
  <c r="K364" i="15"/>
  <c r="O43" i="15"/>
  <c r="P88" i="15"/>
  <c r="M547" i="14"/>
  <c r="P547" i="14" s="1"/>
  <c r="K433" i="15"/>
  <c r="O55" i="15"/>
  <c r="L389" i="13"/>
  <c r="O389" i="13" s="1"/>
  <c r="P263" i="14"/>
  <c r="N14" i="15"/>
  <c r="K364" i="14"/>
  <c r="P26" i="14"/>
  <c r="N9" i="15"/>
  <c r="N629" i="15"/>
  <c r="P629" i="15" s="1"/>
  <c r="M658" i="14"/>
  <c r="P658" i="14" s="1"/>
  <c r="P300" i="15"/>
  <c r="O90" i="15"/>
  <c r="P421" i="15"/>
  <c r="P183" i="15"/>
  <c r="K417" i="15"/>
  <c r="O279" i="15"/>
  <c r="L277" i="15"/>
  <c r="O277" i="15" s="1"/>
  <c r="O263" i="14"/>
  <c r="M657" i="14"/>
  <c r="P657" i="14" s="1"/>
  <c r="M470" i="15"/>
  <c r="P470" i="15" s="1"/>
  <c r="N328" i="15"/>
  <c r="O261" i="15"/>
  <c r="P90" i="15"/>
  <c r="M547" i="15"/>
  <c r="P547" i="15" s="1"/>
  <c r="M546" i="15"/>
  <c r="P546" i="15" s="1"/>
  <c r="L786" i="13"/>
  <c r="O786" i="13" s="1"/>
  <c r="O546" i="13"/>
  <c r="O167" i="15"/>
  <c r="L165" i="15"/>
  <c r="O165" i="15" s="1"/>
  <c r="P29" i="15"/>
  <c r="M181" i="15"/>
  <c r="P181" i="15" s="1"/>
  <c r="M277" i="15"/>
  <c r="P277" i="15" s="1"/>
  <c r="P279" i="15"/>
  <c r="P121" i="15"/>
  <c r="M119" i="15"/>
  <c r="P119" i="15" s="1"/>
  <c r="L315" i="15"/>
  <c r="O315" i="15" s="1"/>
  <c r="N298" i="15"/>
  <c r="P298" i="15" s="1"/>
  <c r="O421" i="15"/>
  <c r="P328" i="15"/>
  <c r="O183" i="15"/>
  <c r="L181" i="15"/>
  <c r="O181" i="15" s="1"/>
  <c r="L298" i="15"/>
  <c r="O300" i="15"/>
  <c r="L685" i="15"/>
  <c r="O685" i="15" s="1"/>
  <c r="O238" i="15"/>
  <c r="L227" i="15"/>
  <c r="M261" i="15"/>
  <c r="P261" i="15" s="1"/>
  <c r="P263" i="15"/>
  <c r="L328" i="15"/>
  <c r="O330" i="15"/>
  <c r="L21" i="15"/>
  <c r="O21" i="15" s="1"/>
  <c r="L13" i="15"/>
  <c r="L20" i="15"/>
  <c r="L18" i="15" s="1"/>
  <c r="O23" i="15"/>
  <c r="M446" i="15"/>
  <c r="P449" i="15"/>
  <c r="M447" i="15"/>
  <c r="P447" i="15" s="1"/>
  <c r="I131" i="15"/>
  <c r="K131" i="15" s="1"/>
  <c r="K143" i="15"/>
  <c r="O347" i="15"/>
  <c r="N345" i="15"/>
  <c r="O345" i="15" s="1"/>
  <c r="L277" i="14"/>
  <c r="O277" i="14" s="1"/>
  <c r="M16" i="15"/>
  <c r="P26" i="15"/>
  <c r="M24" i="15"/>
  <c r="M16" i="14"/>
  <c r="M14" i="14" s="1"/>
  <c r="O41" i="15"/>
  <c r="L149" i="15"/>
  <c r="O149" i="15" s="1"/>
  <c r="M53" i="15"/>
  <c r="P53" i="15" s="1"/>
  <c r="P55" i="15"/>
  <c r="N414" i="15"/>
  <c r="L88" i="15"/>
  <c r="O88" i="15" s="1"/>
  <c r="P348" i="15"/>
  <c r="L629" i="15"/>
  <c r="O629" i="15" s="1"/>
  <c r="O631" i="15"/>
  <c r="L30" i="15"/>
  <c r="L31" i="15"/>
  <c r="O31" i="15" s="1"/>
  <c r="O33" i="15"/>
  <c r="L34" i="15"/>
  <c r="O34" i="15" s="1"/>
  <c r="O36" i="15"/>
  <c r="I65" i="15"/>
  <c r="K65" i="15" s="1"/>
  <c r="K77" i="15"/>
  <c r="P41" i="15"/>
  <c r="L444" i="14"/>
  <c r="O444" i="14" s="1"/>
  <c r="M9" i="15"/>
  <c r="P12" i="15"/>
  <c r="M21" i="15"/>
  <c r="P21" i="15" s="1"/>
  <c r="M20" i="15"/>
  <c r="M18" i="15" s="1"/>
  <c r="P23" i="15"/>
  <c r="P165" i="15"/>
  <c r="M315" i="15"/>
  <c r="P315" i="15" s="1"/>
  <c r="L119" i="15"/>
  <c r="O119" i="15" s="1"/>
  <c r="P184" i="15"/>
  <c r="M419" i="15"/>
  <c r="K434" i="15"/>
  <c r="I418" i="15"/>
  <c r="K418" i="15" s="1"/>
  <c r="M33" i="15"/>
  <c r="P545" i="15"/>
  <c r="P19" i="15"/>
  <c r="O351" i="15"/>
  <c r="P351" i="15"/>
  <c r="O19" i="15"/>
  <c r="L24" i="15"/>
  <c r="L16" i="15"/>
  <c r="O26" i="15"/>
  <c r="M66" i="15"/>
  <c r="P66" i="15" s="1"/>
  <c r="P68" i="15"/>
  <c r="K237" i="15"/>
  <c r="I226" i="15"/>
  <c r="O9" i="15"/>
  <c r="O263" i="15"/>
  <c r="L132" i="15"/>
  <c r="O132" i="15" s="1"/>
  <c r="O419" i="15"/>
  <c r="P167" i="15"/>
  <c r="N13" i="15"/>
  <c r="N20" i="15"/>
  <c r="N18" i="15" s="1"/>
  <c r="L444" i="15"/>
  <c r="O444" i="15" s="1"/>
  <c r="L655" i="15"/>
  <c r="O655" i="15" s="1"/>
  <c r="M389" i="11"/>
  <c r="P389" i="11" s="1"/>
  <c r="I65" i="12"/>
  <c r="K65" i="12" s="1"/>
  <c r="I64" i="14"/>
  <c r="K64" i="14" s="1"/>
  <c r="L34" i="14"/>
  <c r="O34" i="14" s="1"/>
  <c r="O183" i="14"/>
  <c r="L227" i="14"/>
  <c r="P55" i="14"/>
  <c r="O53" i="14"/>
  <c r="O183" i="8"/>
  <c r="P183" i="14"/>
  <c r="L523" i="14"/>
  <c r="O523" i="14" s="1"/>
  <c r="O330" i="14"/>
  <c r="L277" i="13"/>
  <c r="O277" i="13" s="1"/>
  <c r="P330" i="14"/>
  <c r="L298" i="14"/>
  <c r="O298" i="14" s="1"/>
  <c r="P549" i="14"/>
  <c r="O90" i="14"/>
  <c r="O55" i="14"/>
  <c r="N181" i="14"/>
  <c r="P181" i="14" s="1"/>
  <c r="L298" i="10"/>
  <c r="O298" i="10" s="1"/>
  <c r="P165" i="14"/>
  <c r="M53" i="14"/>
  <c r="P53" i="14" s="1"/>
  <c r="N21" i="11"/>
  <c r="P21" i="11" s="1"/>
  <c r="L227" i="13"/>
  <c r="L149" i="14"/>
  <c r="O149" i="14" s="1"/>
  <c r="L66" i="14"/>
  <c r="O66" i="14" s="1"/>
  <c r="M402" i="12"/>
  <c r="P402" i="12" s="1"/>
  <c r="P167" i="14"/>
  <c r="P345" i="14"/>
  <c r="O44" i="14"/>
  <c r="M315" i="14"/>
  <c r="P315" i="14" s="1"/>
  <c r="L402" i="14"/>
  <c r="O402" i="14" s="1"/>
  <c r="O470" i="14"/>
  <c r="N328" i="14"/>
  <c r="P328" i="14" s="1"/>
  <c r="M66" i="14"/>
  <c r="P66" i="14" s="1"/>
  <c r="O134" i="8"/>
  <c r="O43" i="11"/>
  <c r="P263" i="13"/>
  <c r="M402" i="13"/>
  <c r="P402" i="13" s="1"/>
  <c r="L523" i="13"/>
  <c r="O523" i="13" s="1"/>
  <c r="O261" i="14"/>
  <c r="M389" i="14"/>
  <c r="P389" i="14" s="1"/>
  <c r="P421" i="14"/>
  <c r="P422" i="14"/>
  <c r="P544" i="14"/>
  <c r="L544" i="14"/>
  <c r="O544" i="14" s="1"/>
  <c r="O41" i="14"/>
  <c r="N13" i="14"/>
  <c r="N20" i="14"/>
  <c r="N18" i="14" s="1"/>
  <c r="N21" i="14"/>
  <c r="O21" i="14" s="1"/>
  <c r="O347" i="11"/>
  <c r="K433" i="13"/>
  <c r="L16" i="14"/>
  <c r="O26" i="14"/>
  <c r="M21" i="14"/>
  <c r="M20" i="14"/>
  <c r="M18" i="14" s="1"/>
  <c r="P23" i="14"/>
  <c r="O43" i="14"/>
  <c r="L9" i="14"/>
  <c r="O12" i="14"/>
  <c r="P347" i="14"/>
  <c r="N414" i="14"/>
  <c r="O631" i="14"/>
  <c r="L629" i="14"/>
  <c r="O629" i="14" s="1"/>
  <c r="O19" i="14"/>
  <c r="O29" i="14"/>
  <c r="L119" i="13"/>
  <c r="O119" i="13" s="1"/>
  <c r="O151" i="13"/>
  <c r="O238" i="13"/>
  <c r="P279" i="13"/>
  <c r="M132" i="14"/>
  <c r="P132" i="14" s="1"/>
  <c r="P152" i="14"/>
  <c r="O421" i="14"/>
  <c r="L419" i="14"/>
  <c r="O167" i="14"/>
  <c r="N30" i="14"/>
  <c r="N28" i="14" s="1"/>
  <c r="N31" i="14"/>
  <c r="O31" i="14" s="1"/>
  <c r="O345" i="14"/>
  <c r="O546" i="9"/>
  <c r="M547" i="13"/>
  <c r="P547" i="13" s="1"/>
  <c r="M657" i="13"/>
  <c r="P657" i="13" s="1"/>
  <c r="P43" i="14"/>
  <c r="P19" i="14"/>
  <c r="P279" i="14"/>
  <c r="M277" i="14"/>
  <c r="P277" i="14" s="1"/>
  <c r="I180" i="14"/>
  <c r="K180" i="14" s="1"/>
  <c r="P261" i="14"/>
  <c r="P56" i="14"/>
  <c r="O56" i="14"/>
  <c r="O391" i="14"/>
  <c r="L389" i="14"/>
  <c r="O389" i="14" s="1"/>
  <c r="L30" i="14"/>
  <c r="O33" i="14"/>
  <c r="P9" i="14"/>
  <c r="O59" i="14"/>
  <c r="O165" i="14"/>
  <c r="O467" i="14"/>
  <c r="O469" i="14"/>
  <c r="L655" i="14"/>
  <c r="O655" i="14" s="1"/>
  <c r="I64" i="13"/>
  <c r="K64" i="13" s="1"/>
  <c r="M41" i="14"/>
  <c r="L181" i="14"/>
  <c r="P90" i="14"/>
  <c r="O317" i="14"/>
  <c r="L315" i="14"/>
  <c r="O315" i="14" s="1"/>
  <c r="L24" i="14"/>
  <c r="M470" i="14"/>
  <c r="P470" i="14" s="1"/>
  <c r="M469" i="14"/>
  <c r="P472" i="14"/>
  <c r="O788" i="14"/>
  <c r="L786" i="14"/>
  <c r="O786" i="14" s="1"/>
  <c r="N16" i="14"/>
  <c r="N14" i="14" s="1"/>
  <c r="N24" i="14"/>
  <c r="P24" i="14" s="1"/>
  <c r="M119" i="14"/>
  <c r="P119" i="14" s="1"/>
  <c r="L629" i="8"/>
  <c r="O629" i="8" s="1"/>
  <c r="M631" i="11"/>
  <c r="M629" i="11" s="1"/>
  <c r="P629" i="11" s="1"/>
  <c r="P152" i="12"/>
  <c r="K434" i="13"/>
  <c r="L13" i="14"/>
  <c r="L11" i="14" s="1"/>
  <c r="L20" i="14"/>
  <c r="O23" i="14"/>
  <c r="P264" i="14"/>
  <c r="M298" i="14"/>
  <c r="P298" i="14" s="1"/>
  <c r="P300" i="14"/>
  <c r="M149" i="14"/>
  <c r="P149" i="14" s="1"/>
  <c r="O347" i="14"/>
  <c r="P419" i="14"/>
  <c r="M688" i="14"/>
  <c r="P688" i="14" s="1"/>
  <c r="M687" i="14"/>
  <c r="P690" i="14"/>
  <c r="O88" i="14"/>
  <c r="O687" i="14"/>
  <c r="L685" i="14"/>
  <c r="O685" i="14" s="1"/>
  <c r="K433" i="14"/>
  <c r="M33" i="14"/>
  <c r="O263" i="9"/>
  <c r="L34" i="13"/>
  <c r="O34" i="13" s="1"/>
  <c r="P263" i="12"/>
  <c r="P660" i="13"/>
  <c r="O149" i="13"/>
  <c r="P347" i="13"/>
  <c r="M544" i="13"/>
  <c r="P544" i="13" s="1"/>
  <c r="O68" i="13"/>
  <c r="P549" i="13"/>
  <c r="P300" i="13"/>
  <c r="O655" i="13"/>
  <c r="P330" i="13"/>
  <c r="N345" i="11"/>
  <c r="O345" i="11" s="1"/>
  <c r="P690" i="12"/>
  <c r="O56" i="13"/>
  <c r="L66" i="13"/>
  <c r="O66" i="13" s="1"/>
  <c r="M328" i="13"/>
  <c r="P328" i="13" s="1"/>
  <c r="O347" i="13"/>
  <c r="O165" i="13"/>
  <c r="N14" i="12"/>
  <c r="L34" i="12"/>
  <c r="O34" i="12" s="1"/>
  <c r="I64" i="12"/>
  <c r="K64" i="12" s="1"/>
  <c r="P43" i="13"/>
  <c r="P391" i="13"/>
  <c r="M389" i="13"/>
  <c r="P389" i="13" s="1"/>
  <c r="O90" i="11"/>
  <c r="P298" i="13"/>
  <c r="P687" i="13"/>
  <c r="O345" i="13"/>
  <c r="K364" i="3"/>
  <c r="K364" i="12"/>
  <c r="I164" i="12"/>
  <c r="K164" i="12" s="1"/>
  <c r="P68" i="13"/>
  <c r="O43" i="13"/>
  <c r="P44" i="13"/>
  <c r="L467" i="13"/>
  <c r="O467" i="13" s="1"/>
  <c r="P688" i="13"/>
  <c r="O348" i="13"/>
  <c r="O55" i="11"/>
  <c r="O55" i="12"/>
  <c r="O167" i="13"/>
  <c r="L444" i="13"/>
  <c r="O444" i="13" s="1"/>
  <c r="O151" i="9"/>
  <c r="O544" i="12"/>
  <c r="M657" i="12"/>
  <c r="M655" i="12" s="1"/>
  <c r="P655" i="12" s="1"/>
  <c r="P331" i="13"/>
  <c r="K559" i="13"/>
  <c r="L31" i="11"/>
  <c r="O31" i="11" s="1"/>
  <c r="M658" i="12"/>
  <c r="P658" i="12" s="1"/>
  <c r="P66" i="13"/>
  <c r="N414" i="13"/>
  <c r="M687" i="12"/>
  <c r="M685" i="12" s="1"/>
  <c r="P685" i="12" s="1"/>
  <c r="O347" i="12"/>
  <c r="I226" i="13"/>
  <c r="I180" i="13" s="1"/>
  <c r="K180" i="13" s="1"/>
  <c r="P345" i="13"/>
  <c r="N41" i="11"/>
  <c r="O41" i="11" s="1"/>
  <c r="M9" i="13"/>
  <c r="P12" i="13"/>
  <c r="L16" i="13"/>
  <c r="O26" i="13"/>
  <c r="L24" i="13"/>
  <c r="M315" i="11"/>
  <c r="P315" i="11" s="1"/>
  <c r="O167" i="11"/>
  <c r="M165" i="13"/>
  <c r="P165" i="13" s="1"/>
  <c r="P167" i="13"/>
  <c r="N16" i="13"/>
  <c r="N14" i="13" s="1"/>
  <c r="N24" i="13"/>
  <c r="P55" i="13"/>
  <c r="M149" i="13"/>
  <c r="P149" i="13" s="1"/>
  <c r="P151" i="13"/>
  <c r="P53" i="13"/>
  <c r="M21" i="13"/>
  <c r="P21" i="13" s="1"/>
  <c r="M20" i="13"/>
  <c r="M18" i="13" s="1"/>
  <c r="P23" i="13"/>
  <c r="L9" i="13"/>
  <c r="O12" i="13"/>
  <c r="O421" i="13"/>
  <c r="L419" i="13"/>
  <c r="N30" i="13"/>
  <c r="N28" i="13" s="1"/>
  <c r="N31" i="13"/>
  <c r="L315" i="13"/>
  <c r="O315" i="13" s="1"/>
  <c r="N9" i="13"/>
  <c r="K77" i="13"/>
  <c r="I65" i="13"/>
  <c r="K65" i="13" s="1"/>
  <c r="P43" i="11"/>
  <c r="L444" i="12"/>
  <c r="O444" i="12" s="1"/>
  <c r="M181" i="13"/>
  <c r="P183" i="13"/>
  <c r="L13" i="13"/>
  <c r="L11" i="13" s="1"/>
  <c r="L20" i="13"/>
  <c r="L18" i="13" s="1"/>
  <c r="O23" i="13"/>
  <c r="O31" i="13"/>
  <c r="P90" i="13"/>
  <c r="M41" i="13"/>
  <c r="L21" i="13"/>
  <c r="O21" i="13" s="1"/>
  <c r="M33" i="13"/>
  <c r="M421" i="13"/>
  <c r="P424" i="13"/>
  <c r="M422" i="13"/>
  <c r="P422" i="13" s="1"/>
  <c r="O404" i="13"/>
  <c r="L402" i="13"/>
  <c r="O402" i="13" s="1"/>
  <c r="N261" i="13"/>
  <c r="P261" i="13" s="1"/>
  <c r="L132" i="13"/>
  <c r="O132" i="13" s="1"/>
  <c r="O134" i="13"/>
  <c r="N13" i="13"/>
  <c r="N20" i="13"/>
  <c r="N18" i="13" s="1"/>
  <c r="M119" i="12"/>
  <c r="P119" i="12" s="1"/>
  <c r="M41" i="11"/>
  <c r="M16" i="13"/>
  <c r="P26" i="13"/>
  <c r="O55" i="13"/>
  <c r="L53" i="13"/>
  <c r="O53" i="13" s="1"/>
  <c r="M24" i="13"/>
  <c r="M132" i="13"/>
  <c r="P132" i="13" s="1"/>
  <c r="P88" i="13"/>
  <c r="O15" i="13"/>
  <c r="O90" i="13"/>
  <c r="O263" i="13"/>
  <c r="O422" i="13"/>
  <c r="L298" i="13"/>
  <c r="O298" i="13" s="1"/>
  <c r="O300" i="13"/>
  <c r="P19" i="13"/>
  <c r="M119" i="13"/>
  <c r="P119" i="13" s="1"/>
  <c r="P121" i="13"/>
  <c r="O19" i="13"/>
  <c r="O41" i="13"/>
  <c r="I131" i="13"/>
  <c r="K131" i="13" s="1"/>
  <c r="K143" i="13"/>
  <c r="N181" i="13"/>
  <c r="O330" i="13"/>
  <c r="L328" i="13"/>
  <c r="O328" i="13" s="1"/>
  <c r="O88" i="13"/>
  <c r="L629" i="13"/>
  <c r="O629" i="13" s="1"/>
  <c r="L30" i="13"/>
  <c r="O33" i="13"/>
  <c r="M298" i="11"/>
  <c r="P298" i="11" s="1"/>
  <c r="O330" i="10"/>
  <c r="P347" i="11"/>
  <c r="P183" i="12"/>
  <c r="K433" i="12"/>
  <c r="N345" i="12"/>
  <c r="O345" i="12" s="1"/>
  <c r="P298" i="12"/>
  <c r="M315" i="12"/>
  <c r="P315" i="12" s="1"/>
  <c r="I164" i="10"/>
  <c r="K164" i="10" s="1"/>
  <c r="O55" i="10"/>
  <c r="P56" i="12"/>
  <c r="L389" i="12"/>
  <c r="O389" i="12" s="1"/>
  <c r="P167" i="9"/>
  <c r="O330" i="9"/>
  <c r="N328" i="10"/>
  <c r="O328" i="10" s="1"/>
  <c r="P183" i="10"/>
  <c r="M402" i="11"/>
  <c r="P402" i="11" s="1"/>
  <c r="K77" i="11"/>
  <c r="O317" i="12"/>
  <c r="O300" i="12"/>
  <c r="O470" i="12"/>
  <c r="L66" i="12"/>
  <c r="O66" i="12" s="1"/>
  <c r="L402" i="12"/>
  <c r="O402" i="12" s="1"/>
  <c r="L786" i="11"/>
  <c r="O786" i="11" s="1"/>
  <c r="L34" i="11"/>
  <c r="O34" i="11" s="1"/>
  <c r="N181" i="12"/>
  <c r="P181" i="12" s="1"/>
  <c r="O298" i="12"/>
  <c r="L30" i="11"/>
  <c r="L28" i="11" s="1"/>
  <c r="O28" i="11" s="1"/>
  <c r="P300" i="12"/>
  <c r="P279" i="11"/>
  <c r="P167" i="12"/>
  <c r="K417" i="12"/>
  <c r="P88" i="12"/>
  <c r="O391" i="7"/>
  <c r="N261" i="12"/>
  <c r="P261" i="12" s="1"/>
  <c r="M389" i="10"/>
  <c r="P389" i="10" s="1"/>
  <c r="P90" i="12"/>
  <c r="L467" i="12"/>
  <c r="O467" i="12" s="1"/>
  <c r="P330" i="12"/>
  <c r="O657" i="11"/>
  <c r="L655" i="11"/>
  <c r="O655" i="11" s="1"/>
  <c r="L277" i="10"/>
  <c r="O277" i="10" s="1"/>
  <c r="K364" i="11"/>
  <c r="O183" i="12"/>
  <c r="P15" i="12"/>
  <c r="O134" i="12"/>
  <c r="M389" i="12"/>
  <c r="P389" i="12" s="1"/>
  <c r="L53" i="10"/>
  <c r="O53" i="10" s="1"/>
  <c r="L53" i="12"/>
  <c r="O53" i="12" s="1"/>
  <c r="O132" i="12"/>
  <c r="O301" i="12"/>
  <c r="P168" i="10"/>
  <c r="P134" i="12"/>
  <c r="N24" i="12"/>
  <c r="O24" i="12" s="1"/>
  <c r="I418" i="12"/>
  <c r="K418" i="12" s="1"/>
  <c r="L655" i="12"/>
  <c r="O655" i="12" s="1"/>
  <c r="O21" i="12"/>
  <c r="P331" i="11"/>
  <c r="N165" i="12"/>
  <c r="O165" i="12" s="1"/>
  <c r="P181" i="11"/>
  <c r="O19" i="12"/>
  <c r="O15" i="12"/>
  <c r="P9" i="12"/>
  <c r="M149" i="12"/>
  <c r="P149" i="12" s="1"/>
  <c r="P151" i="12"/>
  <c r="L119" i="12"/>
  <c r="O119" i="12" s="1"/>
  <c r="K248" i="12"/>
  <c r="I226" i="12"/>
  <c r="N9" i="12"/>
  <c r="M132" i="12"/>
  <c r="P132" i="12" s="1"/>
  <c r="O546" i="12"/>
  <c r="P331" i="12"/>
  <c r="M21" i="12"/>
  <c r="P21" i="12" s="1"/>
  <c r="M20" i="12"/>
  <c r="M18" i="12" s="1"/>
  <c r="P23" i="12"/>
  <c r="M547" i="12"/>
  <c r="P547" i="12" s="1"/>
  <c r="M546" i="12"/>
  <c r="P549" i="12"/>
  <c r="M16" i="12"/>
  <c r="P26" i="12"/>
  <c r="M24" i="12"/>
  <c r="N28" i="12"/>
  <c r="O469" i="9"/>
  <c r="P19" i="12"/>
  <c r="O263" i="12"/>
  <c r="L88" i="12"/>
  <c r="O88" i="12" s="1"/>
  <c r="O90" i="12"/>
  <c r="L227" i="12"/>
  <c r="O238" i="12"/>
  <c r="O43" i="12"/>
  <c r="L16" i="12"/>
  <c r="O16" i="12" s="1"/>
  <c r="O26" i="12"/>
  <c r="O167" i="12"/>
  <c r="M447" i="12"/>
  <c r="P447" i="12" s="1"/>
  <c r="M446" i="12"/>
  <c r="P449" i="12"/>
  <c r="O41" i="12"/>
  <c r="L149" i="12"/>
  <c r="O149" i="12" s="1"/>
  <c r="I543" i="12"/>
  <c r="K543" i="12" s="1"/>
  <c r="K559" i="12"/>
  <c r="P328" i="12"/>
  <c r="P467" i="12"/>
  <c r="M33" i="12"/>
  <c r="M13" i="12" s="1"/>
  <c r="L132" i="11"/>
  <c r="O132" i="11" s="1"/>
  <c r="L13" i="12"/>
  <c r="L11" i="12" s="1"/>
  <c r="L20" i="12"/>
  <c r="L18" i="12" s="1"/>
  <c r="O23" i="12"/>
  <c r="P183" i="9"/>
  <c r="P183" i="11"/>
  <c r="O263" i="11"/>
  <c r="L298" i="11"/>
  <c r="O298" i="11" s="1"/>
  <c r="O421" i="12"/>
  <c r="N13" i="12"/>
  <c r="N10" i="12" s="1"/>
  <c r="N20" i="12"/>
  <c r="N18" i="12" s="1"/>
  <c r="L181" i="12"/>
  <c r="O525" i="12"/>
  <c r="L523" i="12"/>
  <c r="O523" i="12" s="1"/>
  <c r="M66" i="12"/>
  <c r="P66" i="12" s="1"/>
  <c r="K143" i="12"/>
  <c r="I131" i="12"/>
  <c r="K131" i="12" s="1"/>
  <c r="M277" i="12"/>
  <c r="P277" i="12" s="1"/>
  <c r="L419" i="12"/>
  <c r="M345" i="12"/>
  <c r="P347" i="12"/>
  <c r="N685" i="12"/>
  <c r="O685" i="12" s="1"/>
  <c r="P419" i="12"/>
  <c r="M132" i="11"/>
  <c r="P132" i="11" s="1"/>
  <c r="O279" i="12"/>
  <c r="L277" i="12"/>
  <c r="O277" i="12" s="1"/>
  <c r="O29" i="12"/>
  <c r="L9" i="12"/>
  <c r="O12" i="12"/>
  <c r="L30" i="12"/>
  <c r="O30" i="12" s="1"/>
  <c r="O33" i="12"/>
  <c r="O330" i="12"/>
  <c r="L328" i="12"/>
  <c r="O328" i="12" s="1"/>
  <c r="M53" i="12"/>
  <c r="P53" i="12" s="1"/>
  <c r="P55" i="12"/>
  <c r="M41" i="12"/>
  <c r="L629" i="12"/>
  <c r="O629" i="12" s="1"/>
  <c r="O631" i="12"/>
  <c r="P421" i="12"/>
  <c r="M132" i="10"/>
  <c r="P132" i="10" s="1"/>
  <c r="I64" i="10"/>
  <c r="K64" i="10" s="1"/>
  <c r="L629" i="9"/>
  <c r="O629" i="9" s="1"/>
  <c r="L149" i="10"/>
  <c r="O149" i="10" s="1"/>
  <c r="L13" i="10"/>
  <c r="L11" i="10" s="1"/>
  <c r="O261" i="10"/>
  <c r="P151" i="11"/>
  <c r="N149" i="11"/>
  <c r="P149" i="11" s="1"/>
  <c r="M422" i="11"/>
  <c r="P422" i="11" s="1"/>
  <c r="M421" i="11"/>
  <c r="M419" i="11" s="1"/>
  <c r="O23" i="10"/>
  <c r="N53" i="11"/>
  <c r="O53" i="11" s="1"/>
  <c r="O404" i="11"/>
  <c r="L402" i="11"/>
  <c r="O402" i="11" s="1"/>
  <c r="P549" i="10"/>
  <c r="L523" i="11"/>
  <c r="O523" i="11" s="1"/>
  <c r="L66" i="9"/>
  <c r="O66" i="9" s="1"/>
  <c r="L119" i="10"/>
  <c r="O119" i="10" s="1"/>
  <c r="I65" i="10"/>
  <c r="K65" i="10" s="1"/>
  <c r="P549" i="11"/>
  <c r="P546" i="11"/>
  <c r="L389" i="11"/>
  <c r="O389" i="11" s="1"/>
  <c r="O68" i="11"/>
  <c r="O279" i="11"/>
  <c r="L277" i="11"/>
  <c r="O277" i="11" s="1"/>
  <c r="L31" i="10"/>
  <c r="O31" i="10" s="1"/>
  <c r="O167" i="10"/>
  <c r="P151" i="10"/>
  <c r="P331" i="10"/>
  <c r="O263" i="10"/>
  <c r="M547" i="11"/>
  <c r="P547" i="11" s="1"/>
  <c r="L88" i="11"/>
  <c r="O88" i="11" s="1"/>
  <c r="O151" i="11"/>
  <c r="L149" i="11"/>
  <c r="P55" i="11"/>
  <c r="M53" i="11"/>
  <c r="O446" i="10"/>
  <c r="P167" i="10"/>
  <c r="M345" i="11"/>
  <c r="M66" i="11"/>
  <c r="P66" i="11" s="1"/>
  <c r="M470" i="11"/>
  <c r="P470" i="11" s="1"/>
  <c r="P472" i="11"/>
  <c r="M469" i="11"/>
  <c r="M467" i="11" s="1"/>
  <c r="P467" i="11" s="1"/>
  <c r="M33" i="11"/>
  <c r="M13" i="11" s="1"/>
  <c r="P121" i="11"/>
  <c r="M119" i="11"/>
  <c r="P119" i="11" s="1"/>
  <c r="O121" i="11"/>
  <c r="L119" i="11"/>
  <c r="O119" i="11" s="1"/>
  <c r="P43" i="9"/>
  <c r="N467" i="11"/>
  <c r="O469" i="11"/>
  <c r="L181" i="11"/>
  <c r="O181" i="11" s="1"/>
  <c r="O183" i="11"/>
  <c r="P90" i="11"/>
  <c r="M88" i="11"/>
  <c r="P88" i="11" s="1"/>
  <c r="K434" i="11"/>
  <c r="I418" i="11"/>
  <c r="K418" i="11" s="1"/>
  <c r="P264" i="11"/>
  <c r="O264" i="11"/>
  <c r="P263" i="11"/>
  <c r="O26" i="11"/>
  <c r="L16" i="11"/>
  <c r="P23" i="11"/>
  <c r="M20" i="11"/>
  <c r="M18" i="11" s="1"/>
  <c r="N11" i="11"/>
  <c r="L444" i="11"/>
  <c r="O446" i="11"/>
  <c r="P330" i="11"/>
  <c r="O330" i="11"/>
  <c r="M9" i="11"/>
  <c r="P12" i="11"/>
  <c r="N24" i="11"/>
  <c r="O24" i="11" s="1"/>
  <c r="N16" i="11"/>
  <c r="N14" i="11" s="1"/>
  <c r="N20" i="11"/>
  <c r="N18" i="11" s="1"/>
  <c r="N181" i="10"/>
  <c r="P181" i="10" s="1"/>
  <c r="O631" i="11"/>
  <c r="L629" i="11"/>
  <c r="O467" i="11"/>
  <c r="N419" i="11"/>
  <c r="P167" i="11"/>
  <c r="M165" i="11"/>
  <c r="P165" i="11" s="1"/>
  <c r="K559" i="11"/>
  <c r="I543" i="11"/>
  <c r="K543" i="11" s="1"/>
  <c r="O249" i="11"/>
  <c r="L227" i="11"/>
  <c r="P19" i="11"/>
  <c r="P26" i="11"/>
  <c r="M16" i="11"/>
  <c r="M14" i="11" s="1"/>
  <c r="M24" i="11"/>
  <c r="J417" i="11"/>
  <c r="K417" i="11" s="1"/>
  <c r="K433" i="11"/>
  <c r="O421" i="11"/>
  <c r="N629" i="11"/>
  <c r="L165" i="11"/>
  <c r="O165" i="11" s="1"/>
  <c r="O546" i="11"/>
  <c r="L544" i="11"/>
  <c r="I226" i="11"/>
  <c r="K237" i="11"/>
  <c r="N544" i="11"/>
  <c r="P544" i="11" s="1"/>
  <c r="O19" i="11"/>
  <c r="O317" i="11"/>
  <c r="L315" i="11"/>
  <c r="O315" i="11" s="1"/>
  <c r="O23" i="11"/>
  <c r="L20" i="11"/>
  <c r="L13" i="11"/>
  <c r="L21" i="11"/>
  <c r="P15" i="11"/>
  <c r="N328" i="11"/>
  <c r="O12" i="11"/>
  <c r="L9" i="11"/>
  <c r="K76" i="11"/>
  <c r="I64" i="11"/>
  <c r="K64" i="11" s="1"/>
  <c r="O44" i="11"/>
  <c r="N261" i="11"/>
  <c r="O261" i="11" s="1"/>
  <c r="L685" i="11"/>
  <c r="O685" i="11" s="1"/>
  <c r="O43" i="9"/>
  <c r="P56" i="10"/>
  <c r="M389" i="9"/>
  <c r="P389" i="9" s="1"/>
  <c r="O631" i="10"/>
  <c r="N21" i="10"/>
  <c r="O21" i="10" s="1"/>
  <c r="I418" i="9"/>
  <c r="K418" i="9" s="1"/>
  <c r="L544" i="10"/>
  <c r="O544" i="10" s="1"/>
  <c r="M66" i="10"/>
  <c r="P66" i="10" s="1"/>
  <c r="M298" i="10"/>
  <c r="P298" i="10" s="1"/>
  <c r="P90" i="10"/>
  <c r="M402" i="10"/>
  <c r="P402" i="10" s="1"/>
  <c r="L655" i="10"/>
  <c r="O655" i="10" s="1"/>
  <c r="P261" i="9"/>
  <c r="L66" i="10"/>
  <c r="O66" i="10" s="1"/>
  <c r="L328" i="9"/>
  <c r="O328" i="9" s="1"/>
  <c r="M9" i="10"/>
  <c r="M88" i="10"/>
  <c r="P88" i="10" s="1"/>
  <c r="M546" i="10"/>
  <c r="L402" i="10"/>
  <c r="O402" i="10" s="1"/>
  <c r="L132" i="10"/>
  <c r="O132" i="10" s="1"/>
  <c r="O183" i="10"/>
  <c r="L20" i="10"/>
  <c r="L18" i="10" s="1"/>
  <c r="M444" i="10"/>
  <c r="P444" i="10" s="1"/>
  <c r="P263" i="8"/>
  <c r="O88" i="9"/>
  <c r="O19" i="10"/>
  <c r="O331" i="10"/>
  <c r="L467" i="10"/>
  <c r="O467" i="10" s="1"/>
  <c r="L315" i="10"/>
  <c r="O315" i="10" s="1"/>
  <c r="O44" i="10"/>
  <c r="I226" i="10"/>
  <c r="I180" i="10" s="1"/>
  <c r="K180" i="10" s="1"/>
  <c r="L523" i="10"/>
  <c r="O523" i="10" s="1"/>
  <c r="O263" i="8"/>
  <c r="M277" i="10"/>
  <c r="P277" i="10" s="1"/>
  <c r="O687" i="10"/>
  <c r="O134" i="9"/>
  <c r="O15" i="10"/>
  <c r="I131" i="10"/>
  <c r="K131" i="10" s="1"/>
  <c r="K143" i="10"/>
  <c r="O90" i="10"/>
  <c r="N28" i="10"/>
  <c r="N165" i="10"/>
  <c r="O165" i="10" s="1"/>
  <c r="L30" i="10"/>
  <c r="O30" i="10" s="1"/>
  <c r="O33" i="10"/>
  <c r="K434" i="10"/>
  <c r="I418" i="10"/>
  <c r="K418" i="10" s="1"/>
  <c r="O347" i="10"/>
  <c r="M421" i="7"/>
  <c r="M419" i="7" s="1"/>
  <c r="P167" i="8"/>
  <c r="M21" i="10"/>
  <c r="M20" i="10"/>
  <c r="M18" i="10" s="1"/>
  <c r="P23" i="10"/>
  <c r="M33" i="10"/>
  <c r="M13" i="10" s="1"/>
  <c r="M421" i="10"/>
  <c r="P424" i="10"/>
  <c r="M422" i="10"/>
  <c r="P422" i="10" s="1"/>
  <c r="L9" i="10"/>
  <c r="O88" i="10"/>
  <c r="L389" i="10"/>
  <c r="O389" i="10" s="1"/>
  <c r="O391" i="10"/>
  <c r="M315" i="10"/>
  <c r="P315" i="10" s="1"/>
  <c r="O345" i="10"/>
  <c r="M688" i="10"/>
  <c r="P688" i="10" s="1"/>
  <c r="M687" i="10"/>
  <c r="P690" i="10"/>
  <c r="K433" i="10"/>
  <c r="M16" i="10"/>
  <c r="P26" i="10"/>
  <c r="M24" i="10"/>
  <c r="P9" i="10"/>
  <c r="N414" i="10"/>
  <c r="L34" i="9"/>
  <c r="O34" i="9" s="1"/>
  <c r="P29" i="10"/>
  <c r="O29" i="10"/>
  <c r="P41" i="10"/>
  <c r="N13" i="10"/>
  <c r="N10" i="10" s="1"/>
  <c r="N20" i="10"/>
  <c r="N18" i="10" s="1"/>
  <c r="L227" i="10"/>
  <c r="O238" i="10"/>
  <c r="L34" i="10"/>
  <c r="O34" i="10" s="1"/>
  <c r="O36" i="10"/>
  <c r="P347" i="10"/>
  <c r="P345" i="10"/>
  <c r="P43" i="10"/>
  <c r="M119" i="10"/>
  <c r="P119" i="10" s="1"/>
  <c r="P121" i="10"/>
  <c r="P263" i="10"/>
  <c r="M261" i="10"/>
  <c r="P261" i="10" s="1"/>
  <c r="N24" i="10"/>
  <c r="O24" i="10" s="1"/>
  <c r="O43" i="10"/>
  <c r="L16" i="10"/>
  <c r="O16" i="10" s="1"/>
  <c r="O26" i="10"/>
  <c r="N9" i="10"/>
  <c r="M53" i="10"/>
  <c r="P53" i="10" s="1"/>
  <c r="P55" i="10"/>
  <c r="M328" i="10"/>
  <c r="P330" i="10"/>
  <c r="M277" i="9"/>
  <c r="P277" i="9" s="1"/>
  <c r="M402" i="9"/>
  <c r="P402" i="9" s="1"/>
  <c r="P19" i="10"/>
  <c r="N14" i="10"/>
  <c r="O41" i="10"/>
  <c r="N31" i="10"/>
  <c r="L419" i="10"/>
  <c r="O421" i="10"/>
  <c r="O44" i="9"/>
  <c r="L544" i="6"/>
  <c r="O544" i="6" s="1"/>
  <c r="M149" i="9"/>
  <c r="P149" i="9" s="1"/>
  <c r="M119" i="9"/>
  <c r="P119" i="9" s="1"/>
  <c r="M315" i="9"/>
  <c r="P315" i="9" s="1"/>
  <c r="L523" i="9"/>
  <c r="O523" i="9" s="1"/>
  <c r="O21" i="9"/>
  <c r="M469" i="7"/>
  <c r="M467" i="7" s="1"/>
  <c r="P467" i="7" s="1"/>
  <c r="L227" i="9"/>
  <c r="L315" i="7"/>
  <c r="O315" i="7" s="1"/>
  <c r="P391" i="8"/>
  <c r="L261" i="9"/>
  <c r="O261" i="9" s="1"/>
  <c r="N41" i="9"/>
  <c r="O41" i="9" s="1"/>
  <c r="M470" i="7"/>
  <c r="P470" i="7" s="1"/>
  <c r="N41" i="8"/>
  <c r="O41" i="8" s="1"/>
  <c r="O56" i="9"/>
  <c r="O261" i="6"/>
  <c r="P56" i="8"/>
  <c r="P88" i="9"/>
  <c r="L315" i="9"/>
  <c r="O315" i="9" s="1"/>
  <c r="K593" i="9"/>
  <c r="L298" i="9"/>
  <c r="O298" i="9" s="1"/>
  <c r="P549" i="9"/>
  <c r="I226" i="9"/>
  <c r="K226" i="9" s="1"/>
  <c r="O544" i="9"/>
  <c r="M41" i="9"/>
  <c r="P263" i="9"/>
  <c r="M547" i="9"/>
  <c r="P547" i="9" s="1"/>
  <c r="M544" i="9"/>
  <c r="P544" i="9" s="1"/>
  <c r="M132" i="8"/>
  <c r="P132" i="8" s="1"/>
  <c r="P90" i="9"/>
  <c r="N181" i="9"/>
  <c r="P181" i="9" s="1"/>
  <c r="O331" i="9"/>
  <c r="M66" i="9"/>
  <c r="P66" i="9" s="1"/>
  <c r="P68" i="9"/>
  <c r="M21" i="9"/>
  <c r="P21" i="9" s="1"/>
  <c r="M20" i="9"/>
  <c r="M18" i="9" s="1"/>
  <c r="P23" i="9"/>
  <c r="M328" i="9"/>
  <c r="P328" i="9" s="1"/>
  <c r="P330" i="9"/>
  <c r="I417" i="9"/>
  <c r="K417" i="9" s="1"/>
  <c r="K433" i="9"/>
  <c r="K288" i="8"/>
  <c r="O121" i="9"/>
  <c r="L119" i="9"/>
  <c r="O119" i="9" s="1"/>
  <c r="P55" i="9"/>
  <c r="O446" i="9"/>
  <c r="L444" i="9"/>
  <c r="O444" i="9" s="1"/>
  <c r="O90" i="9"/>
  <c r="N165" i="9"/>
  <c r="P165" i="9" s="1"/>
  <c r="O19" i="9"/>
  <c r="K76" i="9"/>
  <c r="I64" i="9"/>
  <c r="K64" i="9" s="1"/>
  <c r="N30" i="9"/>
  <c r="N31" i="9"/>
  <c r="N9" i="9"/>
  <c r="L9" i="9"/>
  <c r="O12" i="9"/>
  <c r="K654" i="4"/>
  <c r="K237" i="8"/>
  <c r="P298" i="8"/>
  <c r="L66" i="8"/>
  <c r="O66" i="8" s="1"/>
  <c r="P19" i="9"/>
  <c r="M298" i="9"/>
  <c r="P298" i="9" s="1"/>
  <c r="P300" i="9"/>
  <c r="N13" i="9"/>
  <c r="N11" i="9" s="1"/>
  <c r="N20" i="9"/>
  <c r="N18" i="9" s="1"/>
  <c r="L345" i="9"/>
  <c r="O345" i="9" s="1"/>
  <c r="O347" i="9"/>
  <c r="L165" i="9"/>
  <c r="O167" i="9"/>
  <c r="L685" i="9"/>
  <c r="O685" i="9" s="1"/>
  <c r="O687" i="9"/>
  <c r="P53" i="9"/>
  <c r="M261" i="8"/>
  <c r="P261" i="8" s="1"/>
  <c r="M132" i="9"/>
  <c r="P132" i="9" s="1"/>
  <c r="P134" i="9"/>
  <c r="N16" i="9"/>
  <c r="N14" i="9" s="1"/>
  <c r="N24" i="9"/>
  <c r="P24" i="9" s="1"/>
  <c r="L13" i="9"/>
  <c r="L20" i="9"/>
  <c r="L18" i="9" s="1"/>
  <c r="O23" i="9"/>
  <c r="M33" i="9"/>
  <c r="M13" i="9" s="1"/>
  <c r="M11" i="9" s="1"/>
  <c r="M421" i="9"/>
  <c r="M422" i="9"/>
  <c r="P422" i="9" s="1"/>
  <c r="P424" i="9"/>
  <c r="L389" i="9"/>
  <c r="O389" i="9" s="1"/>
  <c r="O391" i="9"/>
  <c r="O26" i="9"/>
  <c r="P347" i="9"/>
  <c r="M9" i="9"/>
  <c r="P12" i="9"/>
  <c r="O31" i="9"/>
  <c r="L66" i="7"/>
  <c r="O66" i="7" s="1"/>
  <c r="O91" i="8"/>
  <c r="P264" i="8"/>
  <c r="I418" i="8"/>
  <c r="K418" i="8" s="1"/>
  <c r="L402" i="8"/>
  <c r="O402" i="8" s="1"/>
  <c r="N28" i="9"/>
  <c r="L419" i="9"/>
  <c r="O421" i="9"/>
  <c r="L16" i="9"/>
  <c r="P345" i="9"/>
  <c r="N414" i="9"/>
  <c r="M16" i="9"/>
  <c r="P26" i="9"/>
  <c r="O55" i="9"/>
  <c r="L53" i="9"/>
  <c r="O53" i="9" s="1"/>
  <c r="L402" i="9"/>
  <c r="O402" i="9" s="1"/>
  <c r="O404" i="9"/>
  <c r="K77" i="9"/>
  <c r="I65" i="9"/>
  <c r="K65" i="9" s="1"/>
  <c r="O279" i="9"/>
  <c r="L277" i="9"/>
  <c r="O277" i="9" s="1"/>
  <c r="L30" i="9"/>
  <c r="O33" i="9"/>
  <c r="P690" i="9"/>
  <c r="M688" i="9"/>
  <c r="P688" i="9" s="1"/>
  <c r="M687" i="9"/>
  <c r="I180" i="9"/>
  <c r="K180" i="9" s="1"/>
  <c r="L181" i="9"/>
  <c r="O183" i="9"/>
  <c r="O421" i="8"/>
  <c r="L119" i="8"/>
  <c r="O119" i="8" s="1"/>
  <c r="M657" i="8"/>
  <c r="M655" i="8" s="1"/>
  <c r="P655" i="8" s="1"/>
  <c r="K433" i="6"/>
  <c r="L389" i="6"/>
  <c r="O389" i="6" s="1"/>
  <c r="L402" i="7"/>
  <c r="O402" i="7" s="1"/>
  <c r="O422" i="7"/>
  <c r="O56" i="8"/>
  <c r="P53" i="8"/>
  <c r="M165" i="8"/>
  <c r="P165" i="8" s="1"/>
  <c r="O263" i="6"/>
  <c r="M422" i="7"/>
  <c r="P422" i="7" s="1"/>
  <c r="L523" i="7"/>
  <c r="O523" i="7" s="1"/>
  <c r="N181" i="8"/>
  <c r="O181" i="8" s="1"/>
  <c r="P279" i="8"/>
  <c r="P660" i="8"/>
  <c r="L629" i="6"/>
  <c r="O629" i="6" s="1"/>
  <c r="P300" i="7"/>
  <c r="K364" i="8"/>
  <c r="L34" i="8"/>
  <c r="O34" i="8" s="1"/>
  <c r="M315" i="8"/>
  <c r="P315" i="8" s="1"/>
  <c r="L315" i="8"/>
  <c r="O315" i="8" s="1"/>
  <c r="P348" i="8"/>
  <c r="L467" i="8"/>
  <c r="O467" i="8" s="1"/>
  <c r="P151" i="6"/>
  <c r="L629" i="7"/>
  <c r="O629" i="7" s="1"/>
  <c r="K364" i="7"/>
  <c r="L655" i="7"/>
  <c r="O655" i="7" s="1"/>
  <c r="P168" i="8"/>
  <c r="O446" i="8"/>
  <c r="K226" i="8"/>
  <c r="L149" i="8"/>
  <c r="O149" i="8" s="1"/>
  <c r="O21" i="8"/>
  <c r="L389" i="8"/>
  <c r="O389" i="8" s="1"/>
  <c r="K559" i="8"/>
  <c r="O328" i="8"/>
  <c r="O347" i="8"/>
  <c r="L345" i="8"/>
  <c r="O345" i="8" s="1"/>
  <c r="N414" i="8"/>
  <c r="O330" i="7"/>
  <c r="M16" i="8"/>
  <c r="P26" i="8"/>
  <c r="N13" i="8"/>
  <c r="N20" i="8"/>
  <c r="N18" i="8" s="1"/>
  <c r="M328" i="8"/>
  <c r="P328" i="8" s="1"/>
  <c r="P330" i="8"/>
  <c r="O19" i="8"/>
  <c r="M277" i="8"/>
  <c r="P277" i="8" s="1"/>
  <c r="M21" i="8"/>
  <c r="P21" i="8" s="1"/>
  <c r="M20" i="8"/>
  <c r="P20" i="8" s="1"/>
  <c r="P23" i="8"/>
  <c r="P658" i="8"/>
  <c r="M688" i="8"/>
  <c r="P688" i="8" s="1"/>
  <c r="M687" i="8"/>
  <c r="P690" i="8"/>
  <c r="P300" i="8"/>
  <c r="P19" i="8"/>
  <c r="L24" i="8"/>
  <c r="L16" i="8"/>
  <c r="L14" i="8" s="1"/>
  <c r="O26" i="8"/>
  <c r="M402" i="8"/>
  <c r="P402" i="8" s="1"/>
  <c r="P404" i="8"/>
  <c r="L227" i="8"/>
  <c r="O238" i="8"/>
  <c r="O15" i="8"/>
  <c r="P183" i="8"/>
  <c r="M181" i="8"/>
  <c r="P549" i="8"/>
  <c r="M547" i="8"/>
  <c r="P547" i="8" s="1"/>
  <c r="M546" i="8"/>
  <c r="O29" i="8"/>
  <c r="O419" i="8"/>
  <c r="O351" i="8"/>
  <c r="M9" i="8"/>
  <c r="P12" i="8"/>
  <c r="L523" i="8"/>
  <c r="O523" i="8" s="1"/>
  <c r="O525" i="8"/>
  <c r="L9" i="8"/>
  <c r="O12" i="8"/>
  <c r="L655" i="8"/>
  <c r="O655" i="8" s="1"/>
  <c r="O657" i="8"/>
  <c r="N9" i="8"/>
  <c r="J417" i="8"/>
  <c r="K417" i="8" s="1"/>
  <c r="K433" i="8"/>
  <c r="L261" i="8"/>
  <c r="O261" i="8" s="1"/>
  <c r="O53" i="8"/>
  <c r="N16" i="8"/>
  <c r="N14" i="8" s="1"/>
  <c r="N24" i="8"/>
  <c r="P24" i="8" s="1"/>
  <c r="I64" i="8"/>
  <c r="K64" i="8" s="1"/>
  <c r="K76" i="8"/>
  <c r="K143" i="8"/>
  <c r="I131" i="8"/>
  <c r="K131" i="8" s="1"/>
  <c r="M446" i="8"/>
  <c r="M447" i="8"/>
  <c r="P447" i="8" s="1"/>
  <c r="P449" i="8"/>
  <c r="L685" i="8"/>
  <c r="O685" i="8" s="1"/>
  <c r="O687" i="8"/>
  <c r="N30" i="8"/>
  <c r="N28" i="8" s="1"/>
  <c r="N31" i="8"/>
  <c r="L277" i="8"/>
  <c r="O277" i="8" s="1"/>
  <c r="O279" i="8"/>
  <c r="P55" i="7"/>
  <c r="P347" i="8"/>
  <c r="M345" i="8"/>
  <c r="P345" i="8" s="1"/>
  <c r="N88" i="8"/>
  <c r="P90" i="8"/>
  <c r="O55" i="8"/>
  <c r="M33" i="8"/>
  <c r="M13" i="8" s="1"/>
  <c r="M421" i="8"/>
  <c r="P424" i="8"/>
  <c r="M422" i="8"/>
  <c r="P422" i="8" s="1"/>
  <c r="L544" i="8"/>
  <c r="O544" i="8" s="1"/>
  <c r="O546" i="8"/>
  <c r="M41" i="8"/>
  <c r="P43" i="8"/>
  <c r="L13" i="8"/>
  <c r="L11" i="8" s="1"/>
  <c r="L20" i="8"/>
  <c r="O23" i="8"/>
  <c r="O330" i="8"/>
  <c r="O300" i="8"/>
  <c r="L298" i="8"/>
  <c r="O298" i="8" s="1"/>
  <c r="L444" i="8"/>
  <c r="O444" i="8" s="1"/>
  <c r="P55" i="8"/>
  <c r="L165" i="8"/>
  <c r="O165" i="8" s="1"/>
  <c r="O90" i="8"/>
  <c r="L88" i="8"/>
  <c r="L31" i="8"/>
  <c r="L30" i="8"/>
  <c r="O33" i="8"/>
  <c r="K77" i="8"/>
  <c r="I65" i="8"/>
  <c r="K65" i="8" s="1"/>
  <c r="P68" i="8"/>
  <c r="M66" i="8"/>
  <c r="P66" i="8" s="1"/>
  <c r="M119" i="8"/>
  <c r="P119" i="8" s="1"/>
  <c r="O280" i="8"/>
  <c r="P280" i="8"/>
  <c r="P90" i="5"/>
  <c r="P168" i="6"/>
  <c r="O422" i="6"/>
  <c r="M33" i="7"/>
  <c r="M31" i="7" s="1"/>
  <c r="L444" i="7"/>
  <c r="O444" i="7" s="1"/>
  <c r="P167" i="7"/>
  <c r="O68" i="6"/>
  <c r="L523" i="3"/>
  <c r="O523" i="3" s="1"/>
  <c r="M33" i="6"/>
  <c r="M31" i="6" s="1"/>
  <c r="O546" i="7"/>
  <c r="O525" i="5"/>
  <c r="M119" i="7"/>
  <c r="P119" i="7" s="1"/>
  <c r="P263" i="7"/>
  <c r="O300" i="6"/>
  <c r="P183" i="7"/>
  <c r="K364" i="5"/>
  <c r="L402" i="6"/>
  <c r="O402" i="6" s="1"/>
  <c r="L277" i="7"/>
  <c r="O277" i="7" s="1"/>
  <c r="N414" i="7"/>
  <c r="P90" i="7"/>
  <c r="M181" i="7"/>
  <c r="P181" i="7" s="1"/>
  <c r="O183" i="7"/>
  <c r="M53" i="7"/>
  <c r="P53" i="7" s="1"/>
  <c r="P347" i="7"/>
  <c r="O44" i="7"/>
  <c r="L149" i="7"/>
  <c r="O149" i="7" s="1"/>
  <c r="O151" i="7"/>
  <c r="P88" i="7"/>
  <c r="L34" i="7"/>
  <c r="O34" i="7" s="1"/>
  <c r="O632" i="7"/>
  <c r="M149" i="7"/>
  <c r="P149" i="7" s="1"/>
  <c r="L227" i="7"/>
  <c r="L467" i="7"/>
  <c r="O467" i="7" s="1"/>
  <c r="O544" i="7"/>
  <c r="O264" i="7"/>
  <c r="O41" i="7"/>
  <c r="O687" i="7"/>
  <c r="L685" i="7"/>
  <c r="O685" i="7" s="1"/>
  <c r="P19" i="7"/>
  <c r="L13" i="7"/>
  <c r="L11" i="7" s="1"/>
  <c r="L20" i="7"/>
  <c r="L18" i="7" s="1"/>
  <c r="O23" i="7"/>
  <c r="O167" i="7"/>
  <c r="L165" i="7"/>
  <c r="O165" i="7" s="1"/>
  <c r="O15" i="7"/>
  <c r="P184" i="7"/>
  <c r="K77" i="7"/>
  <c r="I65" i="7"/>
  <c r="K65" i="7" s="1"/>
  <c r="P165" i="7"/>
  <c r="O263" i="7"/>
  <c r="N261" i="7"/>
  <c r="P261" i="7" s="1"/>
  <c r="O181" i="7"/>
  <c r="M16" i="7"/>
  <c r="P26" i="7"/>
  <c r="N16" i="7"/>
  <c r="N14" i="7" s="1"/>
  <c r="N24" i="7"/>
  <c r="O24" i="7" s="1"/>
  <c r="M24" i="7"/>
  <c r="P134" i="7"/>
  <c r="M132" i="7"/>
  <c r="P132" i="7" s="1"/>
  <c r="O19" i="7"/>
  <c r="O90" i="7"/>
  <c r="L88" i="7"/>
  <c r="O88" i="7" s="1"/>
  <c r="N13" i="7"/>
  <c r="N11" i="7" s="1"/>
  <c r="N20" i="7"/>
  <c r="N18" i="7" s="1"/>
  <c r="I418" i="7"/>
  <c r="K418" i="7" s="1"/>
  <c r="K434" i="7"/>
  <c r="K537" i="5"/>
  <c r="L34" i="6"/>
  <c r="O34" i="6" s="1"/>
  <c r="O88" i="6"/>
  <c r="L132" i="6"/>
  <c r="O132" i="6" s="1"/>
  <c r="O347" i="6"/>
  <c r="K417" i="6"/>
  <c r="M277" i="6"/>
  <c r="P277" i="6" s="1"/>
  <c r="L9" i="7"/>
  <c r="O12" i="7"/>
  <c r="M66" i="7"/>
  <c r="P66" i="7" s="1"/>
  <c r="M277" i="7"/>
  <c r="P277" i="7" s="1"/>
  <c r="P279" i="7"/>
  <c r="L328" i="7"/>
  <c r="O328" i="7" s="1"/>
  <c r="M547" i="7"/>
  <c r="P547" i="7" s="1"/>
  <c r="M546" i="7"/>
  <c r="P549" i="7"/>
  <c r="M631" i="7"/>
  <c r="P634" i="7"/>
  <c r="M632" i="7"/>
  <c r="P632" i="7" s="1"/>
  <c r="P181" i="6"/>
  <c r="O55" i="7"/>
  <c r="L53" i="7"/>
  <c r="O43" i="7"/>
  <c r="M21" i="7"/>
  <c r="P21" i="7" s="1"/>
  <c r="M20" i="7"/>
  <c r="P23" i="7"/>
  <c r="O21" i="7"/>
  <c r="O134" i="7"/>
  <c r="L132" i="7"/>
  <c r="O132" i="7" s="1"/>
  <c r="I180" i="7"/>
  <c r="K180" i="7" s="1"/>
  <c r="O347" i="7"/>
  <c r="L345" i="7"/>
  <c r="O345" i="7" s="1"/>
  <c r="O29" i="7"/>
  <c r="P404" i="7"/>
  <c r="M402" i="7"/>
  <c r="P402" i="7" s="1"/>
  <c r="L523" i="6"/>
  <c r="O523" i="6" s="1"/>
  <c r="N9" i="7"/>
  <c r="L16" i="7"/>
  <c r="L14" i="7" s="1"/>
  <c r="O26" i="7"/>
  <c r="K76" i="7"/>
  <c r="I64" i="7"/>
  <c r="K64" i="7" s="1"/>
  <c r="P330" i="7"/>
  <c r="M328" i="7"/>
  <c r="P328" i="7" s="1"/>
  <c r="O421" i="7"/>
  <c r="L419" i="7"/>
  <c r="P391" i="7"/>
  <c r="M389" i="7"/>
  <c r="P389" i="7" s="1"/>
  <c r="M315" i="7"/>
  <c r="P315" i="7" s="1"/>
  <c r="N30" i="7"/>
  <c r="N28" i="7" s="1"/>
  <c r="N31" i="7"/>
  <c r="K433" i="7"/>
  <c r="K174" i="4"/>
  <c r="M41" i="7"/>
  <c r="P43" i="7"/>
  <c r="M9" i="7"/>
  <c r="P12" i="7"/>
  <c r="L119" i="7"/>
  <c r="O119" i="7" s="1"/>
  <c r="O121" i="7"/>
  <c r="L298" i="7"/>
  <c r="O298" i="7" s="1"/>
  <c r="L31" i="7"/>
  <c r="O31" i="7" s="1"/>
  <c r="L30" i="7"/>
  <c r="L28" i="7" s="1"/>
  <c r="O33" i="7"/>
  <c r="M345" i="7"/>
  <c r="P345" i="7" s="1"/>
  <c r="K417" i="7"/>
  <c r="O422" i="5"/>
  <c r="P152" i="6"/>
  <c r="K434" i="6"/>
  <c r="O44" i="6"/>
  <c r="P263" i="6"/>
  <c r="K288" i="5"/>
  <c r="M53" i="5"/>
  <c r="P345" i="6"/>
  <c r="M315" i="6"/>
  <c r="P315" i="6" s="1"/>
  <c r="M132" i="5"/>
  <c r="P132" i="5" s="1"/>
  <c r="L315" i="6"/>
  <c r="O315" i="6" s="1"/>
  <c r="M389" i="5"/>
  <c r="P389" i="5" s="1"/>
  <c r="M657" i="6"/>
  <c r="P657" i="6" s="1"/>
  <c r="P660" i="6"/>
  <c r="M261" i="6"/>
  <c r="P261" i="6" s="1"/>
  <c r="M119" i="6"/>
  <c r="P119" i="6" s="1"/>
  <c r="L315" i="4"/>
  <c r="O315" i="4" s="1"/>
  <c r="O263" i="4"/>
  <c r="N88" i="5"/>
  <c r="O88" i="5" s="1"/>
  <c r="O328" i="5"/>
  <c r="O300" i="5"/>
  <c r="O330" i="5"/>
  <c r="P421" i="6"/>
  <c r="P263" i="4"/>
  <c r="L786" i="5"/>
  <c r="O786" i="5" s="1"/>
  <c r="P56" i="6"/>
  <c r="N66" i="6"/>
  <c r="O66" i="6" s="1"/>
  <c r="L685" i="6"/>
  <c r="O685" i="6" s="1"/>
  <c r="N149" i="6"/>
  <c r="P149" i="6" s="1"/>
  <c r="P347" i="6"/>
  <c r="L444" i="6"/>
  <c r="O444" i="6" s="1"/>
  <c r="P279" i="5"/>
  <c r="I64" i="5"/>
  <c r="K64" i="5" s="1"/>
  <c r="O55" i="5"/>
  <c r="O91" i="6"/>
  <c r="L345" i="6"/>
  <c r="O345" i="6" s="1"/>
  <c r="P300" i="5"/>
  <c r="K77" i="5"/>
  <c r="O41" i="5"/>
  <c r="O298" i="5"/>
  <c r="O43" i="6"/>
  <c r="P90" i="6"/>
  <c r="L298" i="6"/>
  <c r="O298" i="6" s="1"/>
  <c r="P183" i="6"/>
  <c r="N414" i="6"/>
  <c r="O655" i="6"/>
  <c r="P151" i="4"/>
  <c r="L66" i="4"/>
  <c r="O66" i="4" s="1"/>
  <c r="L66" i="5"/>
  <c r="O66" i="5" s="1"/>
  <c r="N53" i="5"/>
  <c r="O53" i="5" s="1"/>
  <c r="K434" i="5"/>
  <c r="P55" i="6"/>
  <c r="L24" i="6"/>
  <c r="L16" i="6"/>
  <c r="O26" i="6"/>
  <c r="N13" i="6"/>
  <c r="N20" i="6"/>
  <c r="N18" i="6" s="1"/>
  <c r="I180" i="6"/>
  <c r="K180" i="6" s="1"/>
  <c r="P184" i="6"/>
  <c r="O469" i="6"/>
  <c r="L467" i="6"/>
  <c r="O467" i="6" s="1"/>
  <c r="O152" i="6"/>
  <c r="M685" i="6"/>
  <c r="P685" i="6" s="1"/>
  <c r="P687" i="6"/>
  <c r="P68" i="6"/>
  <c r="M66" i="6"/>
  <c r="M9" i="6"/>
  <c r="P12" i="6"/>
  <c r="K77" i="6"/>
  <c r="I65" i="6"/>
  <c r="K65" i="6" s="1"/>
  <c r="N789" i="1"/>
  <c r="P789" i="1" s="1"/>
  <c r="P44" i="3"/>
  <c r="P345" i="3"/>
  <c r="K76" i="3"/>
  <c r="O523" i="5"/>
  <c r="M16" i="6"/>
  <c r="P26" i="6"/>
  <c r="P19" i="6"/>
  <c r="M24" i="6"/>
  <c r="L31" i="6"/>
  <c r="L30" i="6"/>
  <c r="O33" i="6"/>
  <c r="P165" i="6"/>
  <c r="P53" i="6"/>
  <c r="O151" i="6"/>
  <c r="L149" i="6"/>
  <c r="L9" i="6"/>
  <c r="O12" i="6"/>
  <c r="O330" i="6"/>
  <c r="L328" i="6"/>
  <c r="O328" i="6" s="1"/>
  <c r="M469" i="6"/>
  <c r="M470" i="6"/>
  <c r="P470" i="6" s="1"/>
  <c r="P472" i="6"/>
  <c r="L13" i="6"/>
  <c r="L20" i="6"/>
  <c r="O23" i="6"/>
  <c r="L419" i="6"/>
  <c r="O421" i="6"/>
  <c r="O19" i="6"/>
  <c r="P419" i="6"/>
  <c r="O264" i="6"/>
  <c r="M389" i="6"/>
  <c r="P389" i="6" s="1"/>
  <c r="P391" i="6"/>
  <c r="L523" i="4"/>
  <c r="O523" i="4" s="1"/>
  <c r="O183" i="5"/>
  <c r="K417" i="5"/>
  <c r="P317" i="5"/>
  <c r="K433" i="5"/>
  <c r="N16" i="6"/>
  <c r="N14" i="6" s="1"/>
  <c r="N24" i="6"/>
  <c r="P88" i="6"/>
  <c r="O90" i="6"/>
  <c r="L21" i="6"/>
  <c r="O21" i="6" s="1"/>
  <c r="L277" i="6"/>
  <c r="O277" i="6" s="1"/>
  <c r="P631" i="6"/>
  <c r="M629" i="6"/>
  <c r="P629" i="6" s="1"/>
  <c r="O788" i="6"/>
  <c r="L786" i="6"/>
  <c r="O786" i="6" s="1"/>
  <c r="P549" i="6"/>
  <c r="M546" i="6"/>
  <c r="M547" i="6"/>
  <c r="P547" i="6" s="1"/>
  <c r="N28" i="6"/>
  <c r="O56" i="6"/>
  <c r="O55" i="6"/>
  <c r="L53" i="6"/>
  <c r="O53" i="6" s="1"/>
  <c r="M21" i="6"/>
  <c r="P21" i="6" s="1"/>
  <c r="M20" i="6"/>
  <c r="P23" i="6"/>
  <c r="P330" i="6"/>
  <c r="M328" i="6"/>
  <c r="P328" i="6" s="1"/>
  <c r="K76" i="6"/>
  <c r="I64" i="6"/>
  <c r="K64" i="6" s="1"/>
  <c r="L165" i="6"/>
  <c r="O165" i="6" s="1"/>
  <c r="O167" i="6"/>
  <c r="L227" i="6"/>
  <c r="O238" i="6"/>
  <c r="O121" i="6"/>
  <c r="L119" i="6"/>
  <c r="O119" i="6" s="1"/>
  <c r="P167" i="6"/>
  <c r="P404" i="6"/>
  <c r="M402" i="6"/>
  <c r="P402" i="6" s="1"/>
  <c r="N30" i="6"/>
  <c r="N31" i="6"/>
  <c r="K559" i="6"/>
  <c r="I543" i="6"/>
  <c r="K543" i="6" s="1"/>
  <c r="P90" i="2"/>
  <c r="M41" i="6"/>
  <c r="P43" i="6"/>
  <c r="O59" i="6"/>
  <c r="N9" i="6"/>
  <c r="O41" i="6"/>
  <c r="L181" i="6"/>
  <c r="O181" i="6" s="1"/>
  <c r="O183" i="6"/>
  <c r="P300" i="6"/>
  <c r="M298" i="6"/>
  <c r="P298" i="6" s="1"/>
  <c r="P134" i="6"/>
  <c r="M132" i="6"/>
  <c r="P132" i="6" s="1"/>
  <c r="J364" i="6"/>
  <c r="K364" i="6" s="1"/>
  <c r="L544" i="5"/>
  <c r="O544" i="5" s="1"/>
  <c r="O43" i="5"/>
  <c r="O261" i="5"/>
  <c r="L149" i="5"/>
  <c r="O149" i="5" s="1"/>
  <c r="O90" i="5"/>
  <c r="O315" i="5"/>
  <c r="N24" i="5"/>
  <c r="O24" i="5" s="1"/>
  <c r="Q167" i="5"/>
  <c r="O631" i="5"/>
  <c r="O331" i="5"/>
  <c r="O348" i="4"/>
  <c r="N14" i="5"/>
  <c r="L165" i="5"/>
  <c r="O165" i="5" s="1"/>
  <c r="M469" i="5"/>
  <c r="M467" i="5" s="1"/>
  <c r="M470" i="5"/>
  <c r="P470" i="5" s="1"/>
  <c r="P43" i="5"/>
  <c r="O279" i="5"/>
  <c r="M33" i="5"/>
  <c r="M30" i="5" s="1"/>
  <c r="O317" i="5"/>
  <c r="L655" i="5"/>
  <c r="O655" i="5" s="1"/>
  <c r="O469" i="5"/>
  <c r="N467" i="5"/>
  <c r="M389" i="3"/>
  <c r="P389" i="3" s="1"/>
  <c r="P184" i="5"/>
  <c r="P315" i="5"/>
  <c r="O472" i="5"/>
  <c r="O132" i="1"/>
  <c r="O263" i="5"/>
  <c r="N33" i="5"/>
  <c r="M298" i="5"/>
  <c r="P298" i="5" s="1"/>
  <c r="P422" i="5"/>
  <c r="P347" i="5"/>
  <c r="K77" i="2"/>
  <c r="M41" i="5"/>
  <c r="P41" i="5" s="1"/>
  <c r="L119" i="5"/>
  <c r="O119" i="5" s="1"/>
  <c r="P264" i="5"/>
  <c r="P167" i="5"/>
  <c r="P277" i="5"/>
  <c r="L402" i="5"/>
  <c r="O402" i="5" s="1"/>
  <c r="O467" i="5"/>
  <c r="P56" i="5"/>
  <c r="N629" i="5"/>
  <c r="O629" i="5" s="1"/>
  <c r="L132" i="5"/>
  <c r="O132" i="5" s="1"/>
  <c r="L277" i="5"/>
  <c r="O277" i="5" s="1"/>
  <c r="N470" i="5"/>
  <c r="O470" i="5" s="1"/>
  <c r="P263" i="5"/>
  <c r="O280" i="5"/>
  <c r="M419" i="5"/>
  <c r="P419" i="5" s="1"/>
  <c r="M526" i="5"/>
  <c r="P526" i="5" s="1"/>
  <c r="P528" i="5"/>
  <c r="L389" i="5"/>
  <c r="O389" i="5" s="1"/>
  <c r="L16" i="5"/>
  <c r="O16" i="5" s="1"/>
  <c r="O26" i="5"/>
  <c r="L345" i="5"/>
  <c r="O345" i="5" s="1"/>
  <c r="O347" i="5"/>
  <c r="M546" i="5"/>
  <c r="P546" i="5" s="1"/>
  <c r="P549" i="5"/>
  <c r="M547" i="5"/>
  <c r="P547" i="5" s="1"/>
  <c r="K433" i="3"/>
  <c r="M33" i="4"/>
  <c r="M31" i="4" s="1"/>
  <c r="L629" i="4"/>
  <c r="O629" i="4" s="1"/>
  <c r="M16" i="5"/>
  <c r="P26" i="5"/>
  <c r="M24" i="5"/>
  <c r="M181" i="5"/>
  <c r="P181" i="5" s="1"/>
  <c r="P183" i="5"/>
  <c r="I180" i="5"/>
  <c r="K180" i="5" s="1"/>
  <c r="L181" i="5"/>
  <c r="O181" i="5" s="1"/>
  <c r="L30" i="5"/>
  <c r="L28" i="5" s="1"/>
  <c r="O33" i="5"/>
  <c r="L227" i="5"/>
  <c r="O238" i="5"/>
  <c r="M119" i="5"/>
  <c r="P119" i="5" s="1"/>
  <c r="P121" i="5"/>
  <c r="K559" i="5"/>
  <c r="I543" i="5"/>
  <c r="K543" i="5" s="1"/>
  <c r="M261" i="5"/>
  <c r="P261" i="5" s="1"/>
  <c r="M402" i="5"/>
  <c r="P402" i="5" s="1"/>
  <c r="P404" i="5"/>
  <c r="L419" i="5"/>
  <c r="O421" i="5"/>
  <c r="O151" i="4"/>
  <c r="P685" i="4"/>
  <c r="L402" i="4"/>
  <c r="O402" i="4" s="1"/>
  <c r="P29" i="5"/>
  <c r="O15" i="5"/>
  <c r="M66" i="5"/>
  <c r="P66" i="5" s="1"/>
  <c r="N9" i="5"/>
  <c r="K143" i="5"/>
  <c r="I131" i="5"/>
  <c r="K131" i="5" s="1"/>
  <c r="P345" i="5"/>
  <c r="O446" i="5"/>
  <c r="L786" i="4"/>
  <c r="O786" i="4" s="1"/>
  <c r="O328" i="4"/>
  <c r="M9" i="5"/>
  <c r="P12" i="5"/>
  <c r="M20" i="5"/>
  <c r="P23" i="5"/>
  <c r="L21" i="5"/>
  <c r="O21" i="5" s="1"/>
  <c r="L13" i="5"/>
  <c r="L20" i="5"/>
  <c r="O23" i="5"/>
  <c r="P318" i="5"/>
  <c r="O318" i="5"/>
  <c r="P545" i="5"/>
  <c r="O88" i="4"/>
  <c r="P19" i="5"/>
  <c r="P168" i="5"/>
  <c r="Q168" i="5"/>
  <c r="M149" i="5"/>
  <c r="P149" i="5" s="1"/>
  <c r="P151" i="5"/>
  <c r="O9" i="5"/>
  <c r="N165" i="5"/>
  <c r="M523" i="5"/>
  <c r="P523" i="5" s="1"/>
  <c r="M446" i="5"/>
  <c r="P449" i="5"/>
  <c r="M447" i="5"/>
  <c r="P447" i="5" s="1"/>
  <c r="P690" i="4"/>
  <c r="O29" i="5"/>
  <c r="M21" i="5"/>
  <c r="P21" i="5" s="1"/>
  <c r="N13" i="5"/>
  <c r="N10" i="5" s="1"/>
  <c r="N20" i="5"/>
  <c r="N18" i="5" s="1"/>
  <c r="M328" i="5"/>
  <c r="P328" i="5" s="1"/>
  <c r="P330" i="5"/>
  <c r="O444" i="5"/>
  <c r="N414" i="5"/>
  <c r="L34" i="5"/>
  <c r="O34" i="5" s="1"/>
  <c r="O36" i="5"/>
  <c r="M629" i="5"/>
  <c r="P629" i="5" s="1"/>
  <c r="P55" i="4"/>
  <c r="M469" i="4"/>
  <c r="P469" i="4" s="1"/>
  <c r="O55" i="4"/>
  <c r="I64" i="4"/>
  <c r="K64" i="4" s="1"/>
  <c r="O167" i="4"/>
  <c r="M119" i="3"/>
  <c r="P119" i="3" s="1"/>
  <c r="K237" i="1"/>
  <c r="O43" i="4"/>
  <c r="P330" i="4"/>
  <c r="O347" i="1"/>
  <c r="P472" i="4"/>
  <c r="M66" i="4"/>
  <c r="P66" i="4" s="1"/>
  <c r="O53" i="4"/>
  <c r="L149" i="3"/>
  <c r="O149" i="3" s="1"/>
  <c r="K433" i="4"/>
  <c r="M277" i="3"/>
  <c r="P277" i="3" s="1"/>
  <c r="M261" i="4"/>
  <c r="P261" i="4" s="1"/>
  <c r="P470" i="4"/>
  <c r="M688" i="4"/>
  <c r="P688" i="4" s="1"/>
  <c r="P685" i="1"/>
  <c r="O167" i="3"/>
  <c r="N14" i="3"/>
  <c r="K237" i="3"/>
  <c r="O330" i="4"/>
  <c r="K143" i="4"/>
  <c r="O132" i="4"/>
  <c r="O467" i="4"/>
  <c r="P300" i="4"/>
  <c r="O470" i="4"/>
  <c r="J275" i="4"/>
  <c r="K275" i="4" s="1"/>
  <c r="K288" i="4"/>
  <c r="K143" i="2"/>
  <c r="P132" i="4"/>
  <c r="I226" i="4"/>
  <c r="K237" i="4"/>
  <c r="P88" i="4"/>
  <c r="O90" i="4"/>
  <c r="O183" i="4"/>
  <c r="P90" i="4"/>
  <c r="K364" i="4"/>
  <c r="L389" i="4"/>
  <c r="O389" i="4" s="1"/>
  <c r="O347" i="4"/>
  <c r="O279" i="4"/>
  <c r="O547" i="4"/>
  <c r="P657" i="4"/>
  <c r="M119" i="4"/>
  <c r="P119" i="4" s="1"/>
  <c r="M16" i="4"/>
  <c r="P26" i="4"/>
  <c r="O249" i="1"/>
  <c r="O655" i="2"/>
  <c r="O21" i="3"/>
  <c r="K417" i="3"/>
  <c r="N9" i="4"/>
  <c r="M24" i="4"/>
  <c r="M402" i="4"/>
  <c r="P402" i="4" s="1"/>
  <c r="K417" i="4"/>
  <c r="K131" i="4"/>
  <c r="L227" i="4"/>
  <c r="O238" i="4"/>
  <c r="P298" i="4"/>
  <c r="P546" i="4"/>
  <c r="L444" i="4"/>
  <c r="O444" i="4" s="1"/>
  <c r="O446" i="4"/>
  <c r="L419" i="4"/>
  <c r="O657" i="4"/>
  <c r="L655" i="4"/>
  <c r="O655" i="4" s="1"/>
  <c r="M149" i="4"/>
  <c r="P149" i="4" s="1"/>
  <c r="O301" i="4"/>
  <c r="M345" i="4"/>
  <c r="P345" i="4" s="1"/>
  <c r="P347" i="4"/>
  <c r="P277" i="4"/>
  <c r="K434" i="4"/>
  <c r="I418" i="4"/>
  <c r="K418" i="4" s="1"/>
  <c r="O217" i="1"/>
  <c r="L444" i="2"/>
  <c r="O444" i="2" s="1"/>
  <c r="O55" i="3"/>
  <c r="L13" i="4"/>
  <c r="L11" i="4" s="1"/>
  <c r="L20" i="4"/>
  <c r="L18" i="4" s="1"/>
  <c r="O23" i="4"/>
  <c r="P15" i="4"/>
  <c r="M53" i="4"/>
  <c r="P135" i="4"/>
  <c r="P29" i="4"/>
  <c r="P43" i="4"/>
  <c r="P167" i="4"/>
  <c r="N41" i="4"/>
  <c r="O41" i="4" s="1"/>
  <c r="P687" i="4"/>
  <c r="N165" i="4"/>
  <c r="P165" i="4" s="1"/>
  <c r="M328" i="4"/>
  <c r="P328" i="4" s="1"/>
  <c r="K593" i="4"/>
  <c r="M315" i="4"/>
  <c r="P315" i="4" s="1"/>
  <c r="P317" i="4"/>
  <c r="N414" i="4"/>
  <c r="O546" i="4"/>
  <c r="M66" i="2"/>
  <c r="P66" i="2" s="1"/>
  <c r="O29" i="4"/>
  <c r="L9" i="4"/>
  <c r="O12" i="4"/>
  <c r="P134" i="4"/>
  <c r="L16" i="4"/>
  <c r="O26" i="4"/>
  <c r="L24" i="4"/>
  <c r="O56" i="4"/>
  <c r="O277" i="4"/>
  <c r="N31" i="4"/>
  <c r="N30" i="4"/>
  <c r="N28" i="4" s="1"/>
  <c r="L181" i="4"/>
  <c r="M389" i="4"/>
  <c r="P389" i="4" s="1"/>
  <c r="P391" i="4"/>
  <c r="L149" i="4"/>
  <c r="O149" i="4" s="1"/>
  <c r="L345" i="4"/>
  <c r="O345" i="4" s="1"/>
  <c r="P404" i="3"/>
  <c r="N13" i="4"/>
  <c r="N11" i="4" s="1"/>
  <c r="N20" i="4"/>
  <c r="N18" i="4" s="1"/>
  <c r="O19" i="4"/>
  <c r="I65" i="4"/>
  <c r="K65" i="4" s="1"/>
  <c r="K77" i="4"/>
  <c r="L119" i="4"/>
  <c r="O119" i="4" s="1"/>
  <c r="O469" i="4"/>
  <c r="N24" i="4"/>
  <c r="N16" i="4"/>
  <c r="N14" i="4" s="1"/>
  <c r="L261" i="4"/>
  <c r="O261" i="4" s="1"/>
  <c r="L30" i="4"/>
  <c r="O30" i="4" s="1"/>
  <c r="O33" i="4"/>
  <c r="L31" i="4"/>
  <c r="O31" i="4" s="1"/>
  <c r="P9" i="4"/>
  <c r="O544" i="4"/>
  <c r="O685" i="4"/>
  <c r="P544" i="4"/>
  <c r="L277" i="3"/>
  <c r="O277" i="3" s="1"/>
  <c r="L34" i="4"/>
  <c r="O34" i="4" s="1"/>
  <c r="N181" i="4"/>
  <c r="P181" i="4" s="1"/>
  <c r="P183" i="4"/>
  <c r="O134" i="4"/>
  <c r="N21" i="4"/>
  <c r="P21" i="4" s="1"/>
  <c r="M20" i="4"/>
  <c r="P23" i="4"/>
  <c r="P138" i="4"/>
  <c r="L298" i="4"/>
  <c r="O298" i="4" s="1"/>
  <c r="O300" i="4"/>
  <c r="M446" i="4"/>
  <c r="P449" i="4"/>
  <c r="M447" i="4"/>
  <c r="P447" i="4" s="1"/>
  <c r="P279" i="4"/>
  <c r="M419" i="4"/>
  <c r="P421" i="4"/>
  <c r="J593" i="1"/>
  <c r="J592" i="1" s="1"/>
  <c r="K592" i="1" s="1"/>
  <c r="P315" i="2"/>
  <c r="P328" i="3"/>
  <c r="P347" i="2"/>
  <c r="M66" i="3"/>
  <c r="P66" i="3" s="1"/>
  <c r="O183" i="3"/>
  <c r="O56" i="3"/>
  <c r="M655" i="3"/>
  <c r="P655" i="3" s="1"/>
  <c r="P263" i="2"/>
  <c r="M389" i="1"/>
  <c r="P389" i="1" s="1"/>
  <c r="K236" i="1"/>
  <c r="M119" i="2"/>
  <c r="P119" i="2" s="1"/>
  <c r="J417" i="2"/>
  <c r="K417" i="2" s="1"/>
  <c r="L227" i="3"/>
  <c r="O300" i="3"/>
  <c r="K235" i="1"/>
  <c r="N24" i="3"/>
  <c r="P24" i="3" s="1"/>
  <c r="M315" i="3"/>
  <c r="P315" i="3" s="1"/>
  <c r="K418" i="1"/>
  <c r="K76" i="2"/>
  <c r="L34" i="3"/>
  <c r="O34" i="3" s="1"/>
  <c r="P151" i="3"/>
  <c r="N227" i="1"/>
  <c r="M470" i="2"/>
  <c r="P470" i="2" s="1"/>
  <c r="O330" i="3"/>
  <c r="O90" i="3"/>
  <c r="P90" i="1"/>
  <c r="P472" i="2"/>
  <c r="O88" i="3"/>
  <c r="P690" i="1"/>
  <c r="O467" i="3"/>
  <c r="L34" i="2"/>
  <c r="O34" i="2" s="1"/>
  <c r="P263" i="1"/>
  <c r="P330" i="3"/>
  <c r="O788" i="1"/>
  <c r="K785" i="1"/>
  <c r="N149" i="3"/>
  <c r="P149" i="3" s="1"/>
  <c r="I180" i="3"/>
  <c r="K180" i="3" s="1"/>
  <c r="L181" i="3"/>
  <c r="O181" i="3" s="1"/>
  <c r="O469" i="3"/>
  <c r="P331" i="3"/>
  <c r="O786" i="1"/>
  <c r="P317" i="2"/>
  <c r="L53" i="3"/>
  <c r="O53" i="3" s="1"/>
  <c r="O345" i="3"/>
  <c r="K233" i="1"/>
  <c r="O134" i="1"/>
  <c r="O44" i="3"/>
  <c r="L655" i="3"/>
  <c r="O655" i="3" s="1"/>
  <c r="P183" i="1"/>
  <c r="O55" i="2"/>
  <c r="L165" i="3"/>
  <c r="O165" i="3" s="1"/>
  <c r="I418" i="3"/>
  <c r="K418" i="3" s="1"/>
  <c r="L315" i="3"/>
  <c r="O315" i="3" s="1"/>
  <c r="O263" i="1"/>
  <c r="N53" i="2"/>
  <c r="O53" i="2" s="1"/>
  <c r="O279" i="2"/>
  <c r="N28" i="3"/>
  <c r="L685" i="3"/>
  <c r="O685" i="3" s="1"/>
  <c r="O41" i="3"/>
  <c r="M88" i="3"/>
  <c r="P88" i="3" s="1"/>
  <c r="P90" i="3"/>
  <c r="P43" i="3"/>
  <c r="M41" i="3"/>
  <c r="M165" i="3"/>
  <c r="P165" i="3" s="1"/>
  <c r="P167" i="3"/>
  <c r="M470" i="3"/>
  <c r="P470" i="3" s="1"/>
  <c r="M469" i="3"/>
  <c r="P472" i="3"/>
  <c r="M20" i="3"/>
  <c r="P23" i="3"/>
  <c r="P9" i="3"/>
  <c r="P690" i="3"/>
  <c r="M688" i="3"/>
  <c r="P688" i="3" s="1"/>
  <c r="M687" i="3"/>
  <c r="M528" i="1"/>
  <c r="M525" i="1" s="1"/>
  <c r="O301" i="1"/>
  <c r="P183" i="2"/>
  <c r="P351" i="2"/>
  <c r="P446" i="2"/>
  <c r="L389" i="2"/>
  <c r="O389" i="2" s="1"/>
  <c r="O29" i="3"/>
  <c r="M181" i="3"/>
  <c r="P181" i="3" s="1"/>
  <c r="P183" i="3"/>
  <c r="P134" i="3"/>
  <c r="M132" i="3"/>
  <c r="P132" i="3" s="1"/>
  <c r="O421" i="3"/>
  <c r="L389" i="3"/>
  <c r="O389" i="3" s="1"/>
  <c r="O546" i="3"/>
  <c r="L544" i="3"/>
  <c r="O544" i="3" s="1"/>
  <c r="L119" i="3"/>
  <c r="O119" i="3" s="1"/>
  <c r="L629" i="3"/>
  <c r="O629" i="3" s="1"/>
  <c r="N261" i="1"/>
  <c r="P261" i="1" s="1"/>
  <c r="L9" i="3"/>
  <c r="O12" i="3"/>
  <c r="I65" i="3"/>
  <c r="K65" i="3" s="1"/>
  <c r="K77" i="3"/>
  <c r="N9" i="3"/>
  <c r="M21" i="3"/>
  <c r="P21" i="3" s="1"/>
  <c r="L13" i="3"/>
  <c r="L20" i="3"/>
  <c r="O23" i="3"/>
  <c r="N13" i="3"/>
  <c r="N10" i="3" s="1"/>
  <c r="N20" i="3"/>
  <c r="N18" i="3" s="1"/>
  <c r="L30" i="3"/>
  <c r="O30" i="3" s="1"/>
  <c r="O33" i="3"/>
  <c r="L31" i="3"/>
  <c r="O31" i="3" s="1"/>
  <c r="M33" i="3"/>
  <c r="M13" i="3" s="1"/>
  <c r="N688" i="1"/>
  <c r="P688" i="1" s="1"/>
  <c r="K112" i="1"/>
  <c r="O43" i="3"/>
  <c r="O19" i="3"/>
  <c r="P15" i="3"/>
  <c r="P300" i="3"/>
  <c r="M298" i="3"/>
  <c r="P298" i="3" s="1"/>
  <c r="O690" i="1"/>
  <c r="L467" i="2"/>
  <c r="O467" i="2" s="1"/>
  <c r="O347" i="2"/>
  <c r="L16" i="3"/>
  <c r="O26" i="3"/>
  <c r="L24" i="3"/>
  <c r="M53" i="3"/>
  <c r="P53" i="3" s="1"/>
  <c r="P55" i="3"/>
  <c r="M16" i="3"/>
  <c r="P16" i="3" s="1"/>
  <c r="P26" i="3"/>
  <c r="P261" i="3"/>
  <c r="O261" i="3"/>
  <c r="O263" i="3"/>
  <c r="L402" i="3"/>
  <c r="O402" i="3" s="1"/>
  <c r="P263" i="3"/>
  <c r="L328" i="3"/>
  <c r="O328" i="3" s="1"/>
  <c r="L132" i="3"/>
  <c r="O132" i="3" s="1"/>
  <c r="O134" i="3"/>
  <c r="L66" i="3"/>
  <c r="O66" i="3" s="1"/>
  <c r="P29" i="3"/>
  <c r="P347" i="3"/>
  <c r="L444" i="3"/>
  <c r="O444" i="3" s="1"/>
  <c r="L419" i="3"/>
  <c r="I543" i="3"/>
  <c r="K543" i="3" s="1"/>
  <c r="K559" i="3"/>
  <c r="N419" i="3"/>
  <c r="N414" i="3" s="1"/>
  <c r="M544" i="3"/>
  <c r="P544" i="3" s="1"/>
  <c r="P545" i="3"/>
  <c r="O347" i="3"/>
  <c r="K364" i="2"/>
  <c r="P151" i="2"/>
  <c r="O791" i="1"/>
  <c r="P791" i="1"/>
  <c r="P55" i="2"/>
  <c r="P788" i="1"/>
  <c r="K522" i="2"/>
  <c r="P404" i="1"/>
  <c r="M261" i="2"/>
  <c r="P261" i="2" s="1"/>
  <c r="L544" i="2"/>
  <c r="O544" i="2" s="1"/>
  <c r="O68" i="2"/>
  <c r="O198" i="1"/>
  <c r="N345" i="2"/>
  <c r="O345" i="2" s="1"/>
  <c r="O300" i="1"/>
  <c r="M24" i="1"/>
  <c r="O300" i="2"/>
  <c r="O183" i="1"/>
  <c r="P298" i="2"/>
  <c r="P328" i="2"/>
  <c r="O298" i="1"/>
  <c r="P300" i="2"/>
  <c r="M786" i="1"/>
  <c r="P786" i="1" s="1"/>
  <c r="N421" i="1"/>
  <c r="N419" i="1" s="1"/>
  <c r="O419" i="1" s="1"/>
  <c r="L16" i="1"/>
  <c r="L14" i="1" s="1"/>
  <c r="L132" i="2"/>
  <c r="O132" i="2" s="1"/>
  <c r="N181" i="2"/>
  <c r="P181" i="2" s="1"/>
  <c r="O298" i="2"/>
  <c r="O424" i="1"/>
  <c r="L30" i="1"/>
  <c r="L28" i="1" s="1"/>
  <c r="L34" i="1"/>
  <c r="O34" i="1" s="1"/>
  <c r="M20" i="1"/>
  <c r="M18" i="1" s="1"/>
  <c r="N414" i="2"/>
  <c r="M53" i="2"/>
  <c r="P330" i="2"/>
  <c r="N629" i="2"/>
  <c r="L24" i="1"/>
  <c r="N277" i="2"/>
  <c r="O277" i="2" s="1"/>
  <c r="M402" i="2"/>
  <c r="P402" i="2" s="1"/>
  <c r="M547" i="2"/>
  <c r="P547" i="2" s="1"/>
  <c r="P549" i="2"/>
  <c r="P181" i="1"/>
  <c r="P629" i="2"/>
  <c r="P317" i="1"/>
  <c r="O183" i="2"/>
  <c r="P279" i="2"/>
  <c r="O688" i="2"/>
  <c r="P165" i="2"/>
  <c r="J594" i="1"/>
  <c r="K594" i="1" s="1"/>
  <c r="P472" i="1"/>
  <c r="N469" i="1"/>
  <c r="O469" i="1" s="1"/>
  <c r="M132" i="1"/>
  <c r="P132" i="1" s="1"/>
  <c r="P23" i="1"/>
  <c r="O315" i="1"/>
  <c r="P151" i="1"/>
  <c r="P19" i="2"/>
  <c r="L13" i="2"/>
  <c r="L20" i="2"/>
  <c r="L18" i="2" s="1"/>
  <c r="O23" i="2"/>
  <c r="O165" i="2"/>
  <c r="P56" i="2"/>
  <c r="P167" i="2"/>
  <c r="O19" i="2"/>
  <c r="L181" i="2"/>
  <c r="O657" i="2"/>
  <c r="P657" i="2"/>
  <c r="K537" i="2"/>
  <c r="P152" i="2"/>
  <c r="O43" i="2"/>
  <c r="L523" i="2"/>
  <c r="O523" i="2" s="1"/>
  <c r="O525" i="2"/>
  <c r="P43" i="2"/>
  <c r="O41" i="2"/>
  <c r="P469" i="2"/>
  <c r="M467" i="2"/>
  <c r="P467" i="2" s="1"/>
  <c r="M33" i="2"/>
  <c r="M13" i="2" s="1"/>
  <c r="M11" i="2" s="1"/>
  <c r="M421" i="2"/>
  <c r="M422" i="2"/>
  <c r="P422" i="2" s="1"/>
  <c r="P424" i="2"/>
  <c r="M525" i="2"/>
  <c r="P528" i="2"/>
  <c r="M526" i="2"/>
  <c r="P526" i="2" s="1"/>
  <c r="O472" i="1"/>
  <c r="L149" i="1"/>
  <c r="O149" i="1" s="1"/>
  <c r="O121" i="1"/>
  <c r="O26" i="1"/>
  <c r="M132" i="2"/>
  <c r="P132" i="2" s="1"/>
  <c r="P134" i="2"/>
  <c r="N16" i="2"/>
  <c r="N14" i="2" s="1"/>
  <c r="N24" i="2"/>
  <c r="O24" i="2" s="1"/>
  <c r="O29" i="2"/>
  <c r="P59" i="2"/>
  <c r="L21" i="2"/>
  <c r="O21" i="2" s="1"/>
  <c r="N88" i="2"/>
  <c r="P88" i="2" s="1"/>
  <c r="O44" i="2"/>
  <c r="O167" i="2"/>
  <c r="L328" i="2"/>
  <c r="O328" i="2" s="1"/>
  <c r="O330" i="2"/>
  <c r="L30" i="2"/>
  <c r="O33" i="2"/>
  <c r="M655" i="2"/>
  <c r="P655" i="2" s="1"/>
  <c r="L9" i="2"/>
  <c r="O12" i="2"/>
  <c r="O121" i="2"/>
  <c r="L119" i="2"/>
  <c r="O119" i="2" s="1"/>
  <c r="P41" i="2"/>
  <c r="N13" i="2"/>
  <c r="N11" i="2" s="1"/>
  <c r="N20" i="2"/>
  <c r="N18" i="2" s="1"/>
  <c r="P21" i="2"/>
  <c r="M345" i="2"/>
  <c r="M277" i="2"/>
  <c r="K434" i="2"/>
  <c r="I418" i="2"/>
  <c r="K418" i="2" s="1"/>
  <c r="J543" i="2"/>
  <c r="K543" i="2" s="1"/>
  <c r="K559" i="2"/>
  <c r="L685" i="2"/>
  <c r="O685" i="2" s="1"/>
  <c r="O421" i="2"/>
  <c r="L419" i="2"/>
  <c r="M21" i="1"/>
  <c r="L181" i="1"/>
  <c r="O181" i="1" s="1"/>
  <c r="O90" i="1"/>
  <c r="P29" i="2"/>
  <c r="O90" i="2"/>
  <c r="L16" i="2"/>
  <c r="O26" i="2"/>
  <c r="O317" i="2"/>
  <c r="L315" i="2"/>
  <c r="O315" i="2" s="1"/>
  <c r="K288" i="2"/>
  <c r="M544" i="2"/>
  <c r="P544" i="2" s="1"/>
  <c r="P545" i="2"/>
  <c r="M688" i="2"/>
  <c r="P688" i="2" s="1"/>
  <c r="P690" i="2"/>
  <c r="M687" i="2"/>
  <c r="L227" i="2"/>
  <c r="O238" i="2"/>
  <c r="P167" i="1"/>
  <c r="M9" i="2"/>
  <c r="P12" i="2"/>
  <c r="O151" i="2"/>
  <c r="L149" i="2"/>
  <c r="O149" i="2" s="1"/>
  <c r="O263" i="2"/>
  <c r="L261" i="2"/>
  <c r="O261" i="2" s="1"/>
  <c r="N9" i="2"/>
  <c r="M16" i="2"/>
  <c r="M24" i="2"/>
  <c r="P26" i="2"/>
  <c r="P149" i="2"/>
  <c r="M20" i="2"/>
  <c r="M18" i="2" s="1"/>
  <c r="P23" i="2"/>
  <c r="O404" i="2"/>
  <c r="L402" i="2"/>
  <c r="O402" i="2" s="1"/>
  <c r="I226" i="2"/>
  <c r="N30" i="2"/>
  <c r="N28" i="2" s="1"/>
  <c r="N31" i="2"/>
  <c r="O31" i="2" s="1"/>
  <c r="L629" i="2"/>
  <c r="O629" i="2" s="1"/>
  <c r="O631" i="2"/>
  <c r="K576" i="1"/>
  <c r="J559" i="1"/>
  <c r="K559" i="1" s="1"/>
  <c r="P279" i="1"/>
  <c r="O168" i="1"/>
  <c r="N422" i="1"/>
  <c r="O422" i="1" s="1"/>
  <c r="P55" i="1"/>
  <c r="O43" i="1"/>
  <c r="O238" i="1"/>
  <c r="O348" i="1"/>
  <c r="K364" i="1"/>
  <c r="K174" i="1"/>
  <c r="P26" i="1"/>
  <c r="N41" i="1"/>
  <c r="O41" i="1" s="1"/>
  <c r="P68" i="1"/>
  <c r="N277" i="1"/>
  <c r="P277" i="1" s="1"/>
  <c r="K434" i="1"/>
  <c r="O528" i="1"/>
  <c r="K675" i="1"/>
  <c r="J669" i="1"/>
  <c r="P300" i="1"/>
  <c r="M298" i="1"/>
  <c r="P298" i="1" s="1"/>
  <c r="O55" i="1"/>
  <c r="P347" i="1"/>
  <c r="N525" i="1"/>
  <c r="L227" i="1"/>
  <c r="I226" i="1"/>
  <c r="K226" i="1" s="1"/>
  <c r="N88" i="1"/>
  <c r="P88" i="1" s="1"/>
  <c r="M149" i="1"/>
  <c r="P149" i="1" s="1"/>
  <c r="O209" i="1"/>
  <c r="P43" i="1"/>
  <c r="O167" i="1"/>
  <c r="N165" i="1"/>
  <c r="P165" i="1" s="1"/>
  <c r="P348" i="1"/>
  <c r="M315" i="1"/>
  <c r="P315" i="1" s="1"/>
  <c r="N9" i="1"/>
  <c r="P330" i="1"/>
  <c r="N328" i="1"/>
  <c r="P328" i="1" s="1"/>
  <c r="N631" i="1"/>
  <c r="O634" i="1"/>
  <c r="N632" i="1"/>
  <c r="M419" i="1"/>
  <c r="N53" i="1"/>
  <c r="O53" i="1" s="1"/>
  <c r="P91" i="1"/>
  <c r="N16" i="1"/>
  <c r="N24" i="1"/>
  <c r="O23" i="1"/>
  <c r="L20" i="1"/>
  <c r="L13" i="1"/>
  <c r="L11" i="1" s="1"/>
  <c r="L21" i="1"/>
  <c r="P351" i="1"/>
  <c r="O351" i="1"/>
  <c r="N546" i="1"/>
  <c r="O546" i="1" s="1"/>
  <c r="P549" i="1"/>
  <c r="N547" i="1"/>
  <c r="L389" i="1"/>
  <c r="O389" i="1" s="1"/>
  <c r="O264" i="1"/>
  <c r="K77" i="1"/>
  <c r="I65" i="1"/>
  <c r="K65" i="1" s="1"/>
  <c r="O12" i="1"/>
  <c r="L9" i="1"/>
  <c r="P138" i="1"/>
  <c r="K76" i="1"/>
  <c r="I64" i="1"/>
  <c r="K64" i="1" s="1"/>
  <c r="O685" i="1"/>
  <c r="O549" i="1"/>
  <c r="M467" i="1"/>
  <c r="N345" i="1"/>
  <c r="O345" i="1" s="1"/>
  <c r="P687" i="1"/>
  <c r="O687" i="1"/>
  <c r="O317" i="1"/>
  <c r="P135" i="1"/>
  <c r="P121" i="1"/>
  <c r="N119" i="1"/>
  <c r="L66" i="1"/>
  <c r="O66" i="1" s="1"/>
  <c r="O68" i="1"/>
  <c r="O279" i="1"/>
  <c r="L277" i="1"/>
  <c r="N21" i="1"/>
  <c r="N20" i="1"/>
  <c r="N446" i="1"/>
  <c r="O446" i="1" s="1"/>
  <c r="P449" i="1"/>
  <c r="N447" i="1"/>
  <c r="N33" i="1"/>
  <c r="N13" i="1" s="1"/>
  <c r="N657" i="1"/>
  <c r="P657" i="1" s="1"/>
  <c r="N658" i="1"/>
  <c r="P660" i="1"/>
  <c r="L402" i="1"/>
  <c r="O402" i="1" s="1"/>
  <c r="L414" i="1"/>
  <c r="O660" i="1"/>
  <c r="M345" i="1"/>
  <c r="O470" i="1"/>
  <c r="P331" i="1"/>
  <c r="O330" i="1"/>
  <c r="P66" i="1"/>
  <c r="P9" i="1"/>
  <c r="P20" i="22" l="1"/>
  <c r="M655" i="23"/>
  <c r="P655" i="23" s="1"/>
  <c r="O20" i="22"/>
  <c r="O328" i="22"/>
  <c r="P20" i="23"/>
  <c r="P181" i="22"/>
  <c r="O20" i="23"/>
  <c r="P24" i="23"/>
  <c r="M13" i="22"/>
  <c r="M10" i="22" s="1"/>
  <c r="M37" i="23"/>
  <c r="M18" i="23"/>
  <c r="P18" i="23" s="1"/>
  <c r="N13" i="23"/>
  <c r="N10" i="23" s="1"/>
  <c r="N8" i="23" s="1"/>
  <c r="M10" i="23"/>
  <c r="M11" i="23"/>
  <c r="P21" i="22"/>
  <c r="P421" i="23"/>
  <c r="M419" i="23"/>
  <c r="L10" i="23"/>
  <c r="L8" i="23" s="1"/>
  <c r="P9" i="23"/>
  <c r="O421" i="23"/>
  <c r="N419" i="23"/>
  <c r="L28" i="23"/>
  <c r="O28" i="23" s="1"/>
  <c r="M685" i="20"/>
  <c r="P685" i="20" s="1"/>
  <c r="P33" i="23"/>
  <c r="M30" i="23"/>
  <c r="M31" i="23"/>
  <c r="O444" i="23"/>
  <c r="L414" i="23"/>
  <c r="P446" i="23"/>
  <c r="M444" i="23"/>
  <c r="P444" i="23" s="1"/>
  <c r="N30" i="23"/>
  <c r="N28" i="23" s="1"/>
  <c r="N31" i="23"/>
  <c r="O31" i="23" s="1"/>
  <c r="L18" i="23"/>
  <c r="O18" i="23" s="1"/>
  <c r="O16" i="23"/>
  <c r="L14" i="23"/>
  <c r="O14" i="23" s="1"/>
  <c r="M30" i="22"/>
  <c r="P30" i="22" s="1"/>
  <c r="O9" i="23"/>
  <c r="O41" i="23"/>
  <c r="N37" i="23"/>
  <c r="L37" i="23"/>
  <c r="P33" i="22"/>
  <c r="P687" i="23"/>
  <c r="M685" i="23"/>
  <c r="P685" i="23" s="1"/>
  <c r="P16" i="23"/>
  <c r="M14" i="23"/>
  <c r="P14" i="23" s="1"/>
  <c r="M419" i="16"/>
  <c r="P419" i="16" s="1"/>
  <c r="N37" i="22"/>
  <c r="O24" i="22"/>
  <c r="P631" i="22"/>
  <c r="P66" i="22"/>
  <c r="O16" i="22"/>
  <c r="P9" i="22"/>
  <c r="L14" i="22"/>
  <c r="O14" i="22" s="1"/>
  <c r="I180" i="22"/>
  <c r="K180" i="22" s="1"/>
  <c r="K226" i="22"/>
  <c r="N10" i="22"/>
  <c r="N8" i="22" s="1"/>
  <c r="P546" i="22"/>
  <c r="M544" i="22"/>
  <c r="P544" i="22" s="1"/>
  <c r="O30" i="22"/>
  <c r="L28" i="22"/>
  <c r="O28" i="22" s="1"/>
  <c r="P16" i="22"/>
  <c r="M14" i="22"/>
  <c r="P14" i="22" s="1"/>
  <c r="O24" i="21"/>
  <c r="L10" i="22"/>
  <c r="O13" i="22"/>
  <c r="P41" i="22"/>
  <c r="M37" i="22"/>
  <c r="P687" i="22"/>
  <c r="M685" i="22"/>
  <c r="P685" i="22" s="1"/>
  <c r="P657" i="22"/>
  <c r="M655" i="22"/>
  <c r="P655" i="22" s="1"/>
  <c r="O9" i="22"/>
  <c r="P261" i="22"/>
  <c r="O53" i="22"/>
  <c r="L37" i="22"/>
  <c r="L18" i="22"/>
  <c r="O18" i="22" s="1"/>
  <c r="L11" i="22"/>
  <c r="O11" i="22" s="1"/>
  <c r="O419" i="22"/>
  <c r="L414" i="22"/>
  <c r="O414" i="22" s="1"/>
  <c r="M18" i="22"/>
  <c r="P18" i="22" s="1"/>
  <c r="M655" i="19"/>
  <c r="P655" i="19" s="1"/>
  <c r="M30" i="21"/>
  <c r="M31" i="21"/>
  <c r="P31" i="21" s="1"/>
  <c r="M13" i="21"/>
  <c r="P13" i="21" s="1"/>
  <c r="O20" i="21"/>
  <c r="N10" i="21"/>
  <c r="N8" i="21" s="1"/>
  <c r="L18" i="21"/>
  <c r="O18" i="21" s="1"/>
  <c r="O31" i="21"/>
  <c r="M685" i="21"/>
  <c r="P685" i="21" s="1"/>
  <c r="O53" i="21"/>
  <c r="P14" i="21"/>
  <c r="L37" i="21"/>
  <c r="P9" i="21"/>
  <c r="P21" i="21"/>
  <c r="L10" i="21"/>
  <c r="O13" i="21"/>
  <c r="O16" i="21"/>
  <c r="L14" i="21"/>
  <c r="O14" i="21" s="1"/>
  <c r="O9" i="21"/>
  <c r="K226" i="21"/>
  <c r="I180" i="21"/>
  <c r="K180" i="21" s="1"/>
  <c r="P20" i="21"/>
  <c r="M18" i="21"/>
  <c r="P18" i="21" s="1"/>
  <c r="O30" i="21"/>
  <c r="L28" i="21"/>
  <c r="O28" i="21" s="1"/>
  <c r="O11" i="21"/>
  <c r="L414" i="21"/>
  <c r="O414" i="21" s="1"/>
  <c r="O419" i="21"/>
  <c r="P66" i="21"/>
  <c r="M37" i="21"/>
  <c r="P16" i="21"/>
  <c r="N37" i="21"/>
  <c r="P41" i="21"/>
  <c r="M655" i="18"/>
  <c r="P655" i="18" s="1"/>
  <c r="O24" i="20"/>
  <c r="P20" i="19"/>
  <c r="P261" i="19"/>
  <c r="L37" i="20"/>
  <c r="P9" i="20"/>
  <c r="P469" i="20"/>
  <c r="M467" i="20"/>
  <c r="P467" i="20" s="1"/>
  <c r="O20" i="20"/>
  <c r="M444" i="20"/>
  <c r="P446" i="20"/>
  <c r="L18" i="20"/>
  <c r="O18" i="20" s="1"/>
  <c r="P20" i="20"/>
  <c r="O149" i="20"/>
  <c r="L10" i="20"/>
  <c r="L8" i="20" s="1"/>
  <c r="O13" i="20"/>
  <c r="M10" i="20"/>
  <c r="P13" i="20"/>
  <c r="P16" i="20"/>
  <c r="M14" i="20"/>
  <c r="P14" i="20" s="1"/>
  <c r="P33" i="20"/>
  <c r="M30" i="20"/>
  <c r="M31" i="20"/>
  <c r="P31" i="20" s="1"/>
  <c r="L414" i="20"/>
  <c r="O414" i="20" s="1"/>
  <c r="O419" i="20"/>
  <c r="O16" i="20"/>
  <c r="L14" i="20"/>
  <c r="O14" i="20" s="1"/>
  <c r="M629" i="20"/>
  <c r="P629" i="20" s="1"/>
  <c r="P631" i="20"/>
  <c r="O30" i="20"/>
  <c r="L28" i="20"/>
  <c r="O28" i="20" s="1"/>
  <c r="O9" i="20"/>
  <c r="O20" i="19"/>
  <c r="M11" i="20"/>
  <c r="P11" i="20" s="1"/>
  <c r="K226" i="20"/>
  <c r="I180" i="20"/>
  <c r="K180" i="20" s="1"/>
  <c r="N37" i="20"/>
  <c r="P41" i="20"/>
  <c r="M37" i="20"/>
  <c r="O11" i="20"/>
  <c r="N10" i="20"/>
  <c r="N8" i="20" s="1"/>
  <c r="P18" i="20"/>
  <c r="P165" i="19"/>
  <c r="O66" i="18"/>
  <c r="P277" i="18"/>
  <c r="P345" i="18"/>
  <c r="O14" i="18"/>
  <c r="O11" i="19"/>
  <c r="L414" i="19"/>
  <c r="O414" i="19" s="1"/>
  <c r="L18" i="19"/>
  <c r="O18" i="19" s="1"/>
  <c r="K226" i="19"/>
  <c r="I180" i="19"/>
  <c r="K180" i="19" s="1"/>
  <c r="P20" i="18"/>
  <c r="O16" i="19"/>
  <c r="L14" i="19"/>
  <c r="O14" i="19" s="1"/>
  <c r="P469" i="19"/>
  <c r="M467" i="19"/>
  <c r="P467" i="19" s="1"/>
  <c r="P16" i="19"/>
  <c r="M14" i="19"/>
  <c r="P14" i="19" s="1"/>
  <c r="M18" i="19"/>
  <c r="P18" i="19" s="1"/>
  <c r="P24" i="19"/>
  <c r="N10" i="19"/>
  <c r="N8" i="19" s="1"/>
  <c r="M37" i="19"/>
  <c r="P421" i="19"/>
  <c r="M419" i="19"/>
  <c r="O9" i="19"/>
  <c r="P9" i="19"/>
  <c r="L10" i="19"/>
  <c r="L8" i="19" s="1"/>
  <c r="O13" i="19"/>
  <c r="O315" i="19"/>
  <c r="P33" i="19"/>
  <c r="M30" i="19"/>
  <c r="M31" i="19"/>
  <c r="P31" i="19" s="1"/>
  <c r="N37" i="19"/>
  <c r="M13" i="19"/>
  <c r="O53" i="19"/>
  <c r="L37" i="19"/>
  <c r="O16" i="18"/>
  <c r="O30" i="19"/>
  <c r="L28" i="19"/>
  <c r="O28" i="19" s="1"/>
  <c r="M786" i="19"/>
  <c r="P786" i="19" s="1"/>
  <c r="P788" i="19"/>
  <c r="M31" i="18"/>
  <c r="P31" i="18" s="1"/>
  <c r="P33" i="18"/>
  <c r="O21" i="18"/>
  <c r="N37" i="18"/>
  <c r="M13" i="18"/>
  <c r="M10" i="18" s="1"/>
  <c r="P546" i="18"/>
  <c r="M544" i="18"/>
  <c r="P544" i="18" s="1"/>
  <c r="O544" i="18"/>
  <c r="P9" i="18"/>
  <c r="O30" i="18"/>
  <c r="L28" i="18"/>
  <c r="O28" i="18" s="1"/>
  <c r="N10" i="18"/>
  <c r="N8" i="18" s="1"/>
  <c r="N11" i="18"/>
  <c r="O419" i="18"/>
  <c r="L414" i="18"/>
  <c r="O414" i="18" s="1"/>
  <c r="P30" i="18"/>
  <c r="M28" i="18"/>
  <c r="P28" i="18" s="1"/>
  <c r="P16" i="18"/>
  <c r="M14" i="18"/>
  <c r="P14" i="18" s="1"/>
  <c r="O20" i="18"/>
  <c r="O24" i="18"/>
  <c r="L37" i="18"/>
  <c r="O9" i="18"/>
  <c r="M37" i="18"/>
  <c r="L10" i="18"/>
  <c r="O13" i="18"/>
  <c r="K226" i="18"/>
  <c r="I180" i="18"/>
  <c r="K180" i="18" s="1"/>
  <c r="L11" i="18"/>
  <c r="P469" i="15"/>
  <c r="P687" i="18"/>
  <c r="M685" i="18"/>
  <c r="P685" i="18" s="1"/>
  <c r="N18" i="18"/>
  <c r="P18" i="18" s="1"/>
  <c r="P469" i="18"/>
  <c r="M467" i="18"/>
  <c r="P41" i="16"/>
  <c r="M655" i="13"/>
  <c r="P655" i="13" s="1"/>
  <c r="P88" i="5"/>
  <c r="M30" i="16"/>
  <c r="M28" i="16" s="1"/>
  <c r="P28" i="16" s="1"/>
  <c r="M13" i="16"/>
  <c r="M10" i="16" s="1"/>
  <c r="P31" i="16"/>
  <c r="M544" i="16"/>
  <c r="P544" i="16" s="1"/>
  <c r="P685" i="16"/>
  <c r="O328" i="15"/>
  <c r="P33" i="16"/>
  <c r="O11" i="16"/>
  <c r="O31" i="16"/>
  <c r="P16" i="16"/>
  <c r="M14" i="16"/>
  <c r="P14" i="16" s="1"/>
  <c r="P181" i="16"/>
  <c r="N37" i="16"/>
  <c r="O21" i="11"/>
  <c r="N10" i="16"/>
  <c r="N8" i="16" s="1"/>
  <c r="O20" i="16"/>
  <c r="M37" i="16"/>
  <c r="O16" i="16"/>
  <c r="L14" i="16"/>
  <c r="O14" i="16" s="1"/>
  <c r="O9" i="16"/>
  <c r="P24" i="15"/>
  <c r="O24" i="15"/>
  <c r="O165" i="16"/>
  <c r="L37" i="16"/>
  <c r="L414" i="16"/>
  <c r="O414" i="16" s="1"/>
  <c r="O419" i="16"/>
  <c r="L10" i="16"/>
  <c r="O13" i="16"/>
  <c r="P20" i="16"/>
  <c r="O30" i="16"/>
  <c r="L28" i="16"/>
  <c r="O28" i="16" s="1"/>
  <c r="O18" i="16"/>
  <c r="M18" i="16"/>
  <c r="P18" i="16" s="1"/>
  <c r="O24" i="16"/>
  <c r="M655" i="14"/>
  <c r="P655" i="14" s="1"/>
  <c r="P657" i="12"/>
  <c r="P18" i="15"/>
  <c r="N37" i="15"/>
  <c r="M544" i="15"/>
  <c r="P544" i="15" s="1"/>
  <c r="O18" i="15"/>
  <c r="O20" i="15"/>
  <c r="M30" i="15"/>
  <c r="P33" i="15"/>
  <c r="M31" i="15"/>
  <c r="P31" i="15" s="1"/>
  <c r="O30" i="15"/>
  <c r="L28" i="15"/>
  <c r="O28" i="15" s="1"/>
  <c r="L10" i="15"/>
  <c r="O13" i="15"/>
  <c r="L11" i="15"/>
  <c r="N37" i="13"/>
  <c r="N10" i="15"/>
  <c r="N8" i="15" s="1"/>
  <c r="N11" i="15"/>
  <c r="P345" i="15"/>
  <c r="L37" i="15"/>
  <c r="P16" i="15"/>
  <c r="M14" i="15"/>
  <c r="P14" i="15" s="1"/>
  <c r="O16" i="15"/>
  <c r="L14" i="15"/>
  <c r="O14" i="15" s="1"/>
  <c r="P9" i="15"/>
  <c r="I180" i="15"/>
  <c r="K180" i="15" s="1"/>
  <c r="K226" i="15"/>
  <c r="P419" i="15"/>
  <c r="P20" i="15"/>
  <c r="M444" i="15"/>
  <c r="P444" i="15" s="1"/>
  <c r="P446" i="15"/>
  <c r="L414" i="15"/>
  <c r="O414" i="15" s="1"/>
  <c r="M13" i="15"/>
  <c r="M37" i="15"/>
  <c r="P37" i="15" s="1"/>
  <c r="O298" i="15"/>
  <c r="N37" i="14"/>
  <c r="O328" i="14"/>
  <c r="O181" i="14"/>
  <c r="P687" i="12"/>
  <c r="O24" i="14"/>
  <c r="P21" i="14"/>
  <c r="P631" i="11"/>
  <c r="P18" i="14"/>
  <c r="P421" i="7"/>
  <c r="P41" i="11"/>
  <c r="O20" i="14"/>
  <c r="N10" i="14"/>
  <c r="N8" i="14" s="1"/>
  <c r="N11" i="14"/>
  <c r="O11" i="14" s="1"/>
  <c r="O9" i="14"/>
  <c r="M30" i="14"/>
  <c r="P33" i="14"/>
  <c r="M31" i="14"/>
  <c r="P31" i="14" s="1"/>
  <c r="P687" i="14"/>
  <c r="M685" i="14"/>
  <c r="P685" i="14" s="1"/>
  <c r="L37" i="14"/>
  <c r="L10" i="14"/>
  <c r="L8" i="14" s="1"/>
  <c r="O13" i="14"/>
  <c r="P469" i="14"/>
  <c r="M467" i="14"/>
  <c r="P14" i="14"/>
  <c r="O16" i="14"/>
  <c r="L14" i="14"/>
  <c r="O14" i="14" s="1"/>
  <c r="P345" i="11"/>
  <c r="P41" i="14"/>
  <c r="M37" i="14"/>
  <c r="O30" i="14"/>
  <c r="L28" i="14"/>
  <c r="O28" i="14" s="1"/>
  <c r="P16" i="14"/>
  <c r="M13" i="14"/>
  <c r="O181" i="12"/>
  <c r="L414" i="14"/>
  <c r="O414" i="14" s="1"/>
  <c r="O419" i="14"/>
  <c r="L18" i="14"/>
  <c r="O18" i="14" s="1"/>
  <c r="P20" i="14"/>
  <c r="K226" i="13"/>
  <c r="N10" i="13"/>
  <c r="N8" i="13" s="1"/>
  <c r="O261" i="13"/>
  <c r="O261" i="12"/>
  <c r="O20" i="13"/>
  <c r="O18" i="13"/>
  <c r="O16" i="13"/>
  <c r="L14" i="13"/>
  <c r="O14" i="13" s="1"/>
  <c r="P181" i="13"/>
  <c r="O9" i="13"/>
  <c r="O30" i="11"/>
  <c r="P16" i="13"/>
  <c r="M14" i="13"/>
  <c r="P14" i="13" s="1"/>
  <c r="P421" i="13"/>
  <c r="M419" i="13"/>
  <c r="O181" i="13"/>
  <c r="P18" i="13"/>
  <c r="P33" i="13"/>
  <c r="M30" i="13"/>
  <c r="M31" i="13"/>
  <c r="P31" i="13" s="1"/>
  <c r="O24" i="13"/>
  <c r="O149" i="11"/>
  <c r="L37" i="13"/>
  <c r="P24" i="13"/>
  <c r="L10" i="13"/>
  <c r="O13" i="13"/>
  <c r="O419" i="13"/>
  <c r="L414" i="13"/>
  <c r="O414" i="13" s="1"/>
  <c r="P20" i="13"/>
  <c r="P9" i="13"/>
  <c r="P328" i="10"/>
  <c r="O30" i="13"/>
  <c r="L28" i="13"/>
  <c r="O28" i="13" s="1"/>
  <c r="P41" i="13"/>
  <c r="M37" i="13"/>
  <c r="N11" i="13"/>
  <c r="O11" i="13" s="1"/>
  <c r="M13" i="13"/>
  <c r="P345" i="12"/>
  <c r="N37" i="12"/>
  <c r="P165" i="10"/>
  <c r="P53" i="11"/>
  <c r="P165" i="12"/>
  <c r="P421" i="11"/>
  <c r="P469" i="11"/>
  <c r="M37" i="11"/>
  <c r="P24" i="12"/>
  <c r="P18" i="12"/>
  <c r="N11" i="12"/>
  <c r="O11" i="12" s="1"/>
  <c r="P16" i="12"/>
  <c r="M14" i="12"/>
  <c r="P14" i="12" s="1"/>
  <c r="M30" i="12"/>
  <c r="P33" i="12"/>
  <c r="M31" i="12"/>
  <c r="P31" i="12" s="1"/>
  <c r="O18" i="12"/>
  <c r="O20" i="11"/>
  <c r="L28" i="12"/>
  <c r="O28" i="12" s="1"/>
  <c r="N414" i="12"/>
  <c r="P546" i="12"/>
  <c r="M544" i="12"/>
  <c r="P544" i="12" s="1"/>
  <c r="N8" i="12"/>
  <c r="P446" i="12"/>
  <c r="M444" i="12"/>
  <c r="O9" i="12"/>
  <c r="K226" i="12"/>
  <c r="I180" i="12"/>
  <c r="K180" i="12" s="1"/>
  <c r="P41" i="12"/>
  <c r="M37" i="12"/>
  <c r="M10" i="12"/>
  <c r="P13" i="12"/>
  <c r="M11" i="12"/>
  <c r="O20" i="12"/>
  <c r="P469" i="7"/>
  <c r="L414" i="12"/>
  <c r="O414" i="12" s="1"/>
  <c r="O419" i="12"/>
  <c r="L10" i="12"/>
  <c r="O10" i="12" s="1"/>
  <c r="O13" i="12"/>
  <c r="L37" i="12"/>
  <c r="P20" i="12"/>
  <c r="L14" i="12"/>
  <c r="O14" i="12" s="1"/>
  <c r="O165" i="9"/>
  <c r="O181" i="10"/>
  <c r="M414" i="11"/>
  <c r="K226" i="10"/>
  <c r="P18" i="11"/>
  <c r="M31" i="11"/>
  <c r="P31" i="11" s="1"/>
  <c r="P33" i="11"/>
  <c r="M30" i="11"/>
  <c r="L28" i="10"/>
  <c r="O28" i="10" s="1"/>
  <c r="P20" i="11"/>
  <c r="O18" i="10"/>
  <c r="L18" i="11"/>
  <c r="O18" i="11" s="1"/>
  <c r="L37" i="11"/>
  <c r="O544" i="11"/>
  <c r="P261" i="11"/>
  <c r="O444" i="11"/>
  <c r="L414" i="11"/>
  <c r="N414" i="11"/>
  <c r="O419" i="11"/>
  <c r="P328" i="11"/>
  <c r="O328" i="11"/>
  <c r="O13" i="11"/>
  <c r="L10" i="11"/>
  <c r="N37" i="11"/>
  <c r="N10" i="11"/>
  <c r="N8" i="11" s="1"/>
  <c r="L11" i="11"/>
  <c r="O11" i="11" s="1"/>
  <c r="P419" i="11"/>
  <c r="O629" i="11"/>
  <c r="O16" i="11"/>
  <c r="L14" i="11"/>
  <c r="O14" i="11" s="1"/>
  <c r="O9" i="11"/>
  <c r="P24" i="11"/>
  <c r="P9" i="11"/>
  <c r="P13" i="11"/>
  <c r="M10" i="11"/>
  <c r="P14" i="11"/>
  <c r="I180" i="11"/>
  <c r="K180" i="11" s="1"/>
  <c r="K226" i="11"/>
  <c r="P16" i="11"/>
  <c r="M11" i="11"/>
  <c r="P11" i="11" s="1"/>
  <c r="P657" i="8"/>
  <c r="P21" i="10"/>
  <c r="P18" i="10"/>
  <c r="L10" i="10"/>
  <c r="O10" i="10" s="1"/>
  <c r="P546" i="10"/>
  <c r="M544" i="10"/>
  <c r="P544" i="10" s="1"/>
  <c r="L37" i="10"/>
  <c r="N37" i="10"/>
  <c r="P24" i="10"/>
  <c r="L14" i="10"/>
  <c r="O14" i="10" s="1"/>
  <c r="L414" i="10"/>
  <c r="O414" i="10" s="1"/>
  <c r="O419" i="10"/>
  <c r="P16" i="10"/>
  <c r="M14" i="10"/>
  <c r="P14" i="10" s="1"/>
  <c r="M10" i="10"/>
  <c r="P13" i="10"/>
  <c r="M11" i="10"/>
  <c r="P41" i="9"/>
  <c r="M37" i="10"/>
  <c r="N11" i="10"/>
  <c r="O11" i="10" s="1"/>
  <c r="P421" i="10"/>
  <c r="M419" i="10"/>
  <c r="N8" i="10"/>
  <c r="M685" i="10"/>
  <c r="P685" i="10" s="1"/>
  <c r="P687" i="10"/>
  <c r="M30" i="10"/>
  <c r="P33" i="10"/>
  <c r="M31" i="10"/>
  <c r="P31" i="10" s="1"/>
  <c r="P33" i="7"/>
  <c r="O13" i="10"/>
  <c r="O20" i="10"/>
  <c r="O9" i="10"/>
  <c r="P20" i="10"/>
  <c r="O88" i="8"/>
  <c r="O789" i="1"/>
  <c r="O20" i="8"/>
  <c r="M30" i="7"/>
  <c r="P30" i="7" s="1"/>
  <c r="O181" i="9"/>
  <c r="M467" i="4"/>
  <c r="P467" i="4" s="1"/>
  <c r="P31" i="6"/>
  <c r="P33" i="6"/>
  <c r="O30" i="9"/>
  <c r="L28" i="9"/>
  <c r="O28" i="9" s="1"/>
  <c r="P33" i="9"/>
  <c r="M30" i="9"/>
  <c r="M31" i="9"/>
  <c r="P31" i="9" s="1"/>
  <c r="P20" i="9"/>
  <c r="O16" i="9"/>
  <c r="L14" i="9"/>
  <c r="O14" i="9" s="1"/>
  <c r="P11" i="9"/>
  <c r="O18" i="9"/>
  <c r="M10" i="9"/>
  <c r="P13" i="9"/>
  <c r="P687" i="9"/>
  <c r="M685" i="9"/>
  <c r="P685" i="9" s="1"/>
  <c r="O20" i="9"/>
  <c r="O24" i="9"/>
  <c r="L37" i="9"/>
  <c r="L414" i="9"/>
  <c r="O414" i="9" s="1"/>
  <c r="O419" i="9"/>
  <c r="P9" i="9"/>
  <c r="L10" i="9"/>
  <c r="L8" i="9" s="1"/>
  <c r="O13" i="9"/>
  <c r="P18" i="9"/>
  <c r="P16" i="9"/>
  <c r="M14" i="9"/>
  <c r="P14" i="9" s="1"/>
  <c r="M37" i="9"/>
  <c r="O9" i="9"/>
  <c r="N37" i="9"/>
  <c r="P421" i="9"/>
  <c r="M419" i="9"/>
  <c r="N10" i="9"/>
  <c r="N8" i="9" s="1"/>
  <c r="L11" i="9"/>
  <c r="O11" i="9" s="1"/>
  <c r="M13" i="6"/>
  <c r="M11" i="6" s="1"/>
  <c r="P31" i="7"/>
  <c r="P20" i="7"/>
  <c r="N37" i="8"/>
  <c r="M13" i="7"/>
  <c r="M11" i="7" s="1"/>
  <c r="P11" i="7" s="1"/>
  <c r="M18" i="8"/>
  <c r="P18" i="8" s="1"/>
  <c r="P181" i="8"/>
  <c r="O31" i="8"/>
  <c r="O14" i="8"/>
  <c r="O16" i="8"/>
  <c r="N10" i="8"/>
  <c r="N8" i="8" s="1"/>
  <c r="L18" i="8"/>
  <c r="O18" i="8" s="1"/>
  <c r="O30" i="8"/>
  <c r="M10" i="8"/>
  <c r="P13" i="8"/>
  <c r="M11" i="8"/>
  <c r="M30" i="6"/>
  <c r="P30" i="6" s="1"/>
  <c r="L28" i="8"/>
  <c r="O28" i="8" s="1"/>
  <c r="P421" i="8"/>
  <c r="M419" i="8"/>
  <c r="O9" i="8"/>
  <c r="P9" i="8"/>
  <c r="P546" i="8"/>
  <c r="M544" i="8"/>
  <c r="P544" i="8" s="1"/>
  <c r="P687" i="8"/>
  <c r="M685" i="8"/>
  <c r="P685" i="8" s="1"/>
  <c r="P33" i="8"/>
  <c r="M30" i="8"/>
  <c r="M31" i="8"/>
  <c r="P31" i="8" s="1"/>
  <c r="L37" i="8"/>
  <c r="P446" i="8"/>
  <c r="M444" i="8"/>
  <c r="P444" i="8" s="1"/>
  <c r="N11" i="8"/>
  <c r="O11" i="8" s="1"/>
  <c r="O24" i="8"/>
  <c r="L10" i="8"/>
  <c r="O13" i="8"/>
  <c r="L414" i="8"/>
  <c r="O414" i="8" s="1"/>
  <c r="P41" i="8"/>
  <c r="M37" i="8"/>
  <c r="P88" i="8"/>
  <c r="P16" i="8"/>
  <c r="M14" i="8"/>
  <c r="P14" i="8" s="1"/>
  <c r="O14" i="7"/>
  <c r="N10" i="7"/>
  <c r="N8" i="7" s="1"/>
  <c r="P24" i="7"/>
  <c r="M629" i="7"/>
  <c r="P629" i="7" s="1"/>
  <c r="P631" i="7"/>
  <c r="O11" i="7"/>
  <c r="O28" i="7"/>
  <c r="O53" i="7"/>
  <c r="L37" i="7"/>
  <c r="P419" i="7"/>
  <c r="P41" i="7"/>
  <c r="M37" i="7"/>
  <c r="O30" i="7"/>
  <c r="O20" i="7"/>
  <c r="L10" i="7"/>
  <c r="O13" i="7"/>
  <c r="N37" i="7"/>
  <c r="M31" i="5"/>
  <c r="P9" i="7"/>
  <c r="O419" i="7"/>
  <c r="L414" i="7"/>
  <c r="O414" i="7" s="1"/>
  <c r="P546" i="7"/>
  <c r="M544" i="7"/>
  <c r="P544" i="7" s="1"/>
  <c r="O261" i="7"/>
  <c r="O18" i="7"/>
  <c r="M18" i="7"/>
  <c r="P18" i="7" s="1"/>
  <c r="O16" i="7"/>
  <c r="O9" i="7"/>
  <c r="P16" i="7"/>
  <c r="M14" i="7"/>
  <c r="P14" i="7" s="1"/>
  <c r="P469" i="5"/>
  <c r="O149" i="6"/>
  <c r="M655" i="6"/>
  <c r="P655" i="6" s="1"/>
  <c r="P20" i="6"/>
  <c r="O20" i="6"/>
  <c r="N10" i="6"/>
  <c r="N8" i="6" s="1"/>
  <c r="N37" i="6"/>
  <c r="P53" i="5"/>
  <c r="N11" i="6"/>
  <c r="P20" i="5"/>
  <c r="M18" i="6"/>
  <c r="P18" i="6" s="1"/>
  <c r="P66" i="6"/>
  <c r="N37" i="5"/>
  <c r="P24" i="5"/>
  <c r="L37" i="6"/>
  <c r="P24" i="6"/>
  <c r="L10" i="6"/>
  <c r="L8" i="6" s="1"/>
  <c r="O13" i="6"/>
  <c r="L18" i="6"/>
  <c r="O18" i="6" s="1"/>
  <c r="P9" i="6"/>
  <c r="O9" i="6"/>
  <c r="O16" i="6"/>
  <c r="L14" i="6"/>
  <c r="O14" i="6" s="1"/>
  <c r="L414" i="6"/>
  <c r="O414" i="6" s="1"/>
  <c r="O419" i="6"/>
  <c r="L11" i="6"/>
  <c r="O30" i="6"/>
  <c r="L28" i="6"/>
  <c r="O28" i="6" s="1"/>
  <c r="P16" i="6"/>
  <c r="M14" i="6"/>
  <c r="P14" i="6" s="1"/>
  <c r="O24" i="6"/>
  <c r="M13" i="5"/>
  <c r="M11" i="5" s="1"/>
  <c r="P41" i="6"/>
  <c r="M37" i="6"/>
  <c r="P546" i="6"/>
  <c r="M544" i="6"/>
  <c r="P544" i="6" s="1"/>
  <c r="P469" i="6"/>
  <c r="M467" i="6"/>
  <c r="O31" i="6"/>
  <c r="N11" i="5"/>
  <c r="N30" i="5"/>
  <c r="N28" i="5" s="1"/>
  <c r="O28" i="5" s="1"/>
  <c r="N31" i="5"/>
  <c r="O31" i="5" s="1"/>
  <c r="M28" i="5"/>
  <c r="M18" i="5"/>
  <c r="P18" i="5" s="1"/>
  <c r="L14" i="5"/>
  <c r="O14" i="5" s="1"/>
  <c r="P33" i="5"/>
  <c r="M37" i="5"/>
  <c r="P165" i="5"/>
  <c r="Q165" i="5"/>
  <c r="M544" i="5"/>
  <c r="P544" i="5" s="1"/>
  <c r="P9" i="5"/>
  <c r="L10" i="5"/>
  <c r="O13" i="5"/>
  <c r="L11" i="5"/>
  <c r="Q523" i="5"/>
  <c r="M13" i="4"/>
  <c r="P13" i="4" s="1"/>
  <c r="P33" i="4"/>
  <c r="L37" i="5"/>
  <c r="P467" i="5"/>
  <c r="Q467" i="5"/>
  <c r="P31" i="4"/>
  <c r="M30" i="4"/>
  <c r="M28" i="4" s="1"/>
  <c r="P28" i="4" s="1"/>
  <c r="P16" i="5"/>
  <c r="M14" i="5"/>
  <c r="P14" i="5" s="1"/>
  <c r="M33" i="1"/>
  <c r="M30" i="1" s="1"/>
  <c r="P446" i="5"/>
  <c r="M444" i="5"/>
  <c r="O20" i="5"/>
  <c r="L18" i="5"/>
  <c r="O18" i="5" s="1"/>
  <c r="N8" i="5"/>
  <c r="O419" i="5"/>
  <c r="L414" i="5"/>
  <c r="O414" i="5" s="1"/>
  <c r="L28" i="4"/>
  <c r="O28" i="4" s="1"/>
  <c r="N37" i="3"/>
  <c r="O24" i="4"/>
  <c r="K593" i="1"/>
  <c r="P16" i="4"/>
  <c r="K226" i="4"/>
  <c r="I180" i="4"/>
  <c r="K180" i="4" s="1"/>
  <c r="O165" i="4"/>
  <c r="M444" i="4"/>
  <c r="P444" i="4" s="1"/>
  <c r="P446" i="4"/>
  <c r="O16" i="4"/>
  <c r="L14" i="4"/>
  <c r="O14" i="4" s="1"/>
  <c r="M14" i="4"/>
  <c r="P14" i="4" s="1"/>
  <c r="L37" i="4"/>
  <c r="P419" i="4"/>
  <c r="N10" i="4"/>
  <c r="N8" i="4" s="1"/>
  <c r="O181" i="4"/>
  <c r="O11" i="4"/>
  <c r="O20" i="4"/>
  <c r="P24" i="4"/>
  <c r="L414" i="4"/>
  <c r="O414" i="4" s="1"/>
  <c r="O419" i="4"/>
  <c r="O21" i="4"/>
  <c r="L10" i="4"/>
  <c r="L8" i="4" s="1"/>
  <c r="O13" i="4"/>
  <c r="O9" i="4"/>
  <c r="N37" i="4"/>
  <c r="P41" i="4"/>
  <c r="P53" i="4"/>
  <c r="M37" i="4"/>
  <c r="P20" i="4"/>
  <c r="M18" i="4"/>
  <c r="P18" i="4" s="1"/>
  <c r="O18" i="4"/>
  <c r="P528" i="1"/>
  <c r="O24" i="3"/>
  <c r="M526" i="1"/>
  <c r="P526" i="1" s="1"/>
  <c r="O88" i="1"/>
  <c r="P53" i="2"/>
  <c r="N8" i="3"/>
  <c r="O24" i="1"/>
  <c r="O181" i="2"/>
  <c r="O18" i="2"/>
  <c r="O688" i="1"/>
  <c r="O16" i="1"/>
  <c r="O20" i="3"/>
  <c r="O261" i="1"/>
  <c r="P345" i="2"/>
  <c r="N10" i="1"/>
  <c r="N8" i="1" s="1"/>
  <c r="J543" i="1"/>
  <c r="K543" i="1" s="1"/>
  <c r="M30" i="3"/>
  <c r="P33" i="3"/>
  <c r="M31" i="3"/>
  <c r="P31" i="3" s="1"/>
  <c r="N11" i="3"/>
  <c r="M467" i="3"/>
  <c r="P469" i="3"/>
  <c r="L18" i="3"/>
  <c r="O18" i="3" s="1"/>
  <c r="L414" i="3"/>
  <c r="O414" i="3" s="1"/>
  <c r="O419" i="3"/>
  <c r="L28" i="3"/>
  <c r="O28" i="3" s="1"/>
  <c r="L10" i="3"/>
  <c r="O10" i="3" s="1"/>
  <c r="O13" i="3"/>
  <c r="L11" i="3"/>
  <c r="P687" i="3"/>
  <c r="M685" i="3"/>
  <c r="P685" i="3" s="1"/>
  <c r="P20" i="3"/>
  <c r="M18" i="3"/>
  <c r="P18" i="3" s="1"/>
  <c r="L37" i="3"/>
  <c r="O16" i="3"/>
  <c r="L14" i="3"/>
  <c r="O14" i="3" s="1"/>
  <c r="M10" i="3"/>
  <c r="P13" i="3"/>
  <c r="M11" i="3"/>
  <c r="P41" i="3"/>
  <c r="M37" i="3"/>
  <c r="M14" i="3"/>
  <c r="P14" i="3" s="1"/>
  <c r="O9" i="3"/>
  <c r="P419" i="3"/>
  <c r="P277" i="2"/>
  <c r="O421" i="1"/>
  <c r="P21" i="1"/>
  <c r="P421" i="1"/>
  <c r="P11" i="2"/>
  <c r="P24" i="2"/>
  <c r="O30" i="2"/>
  <c r="K226" i="2"/>
  <c r="I180" i="2"/>
  <c r="K180" i="2" s="1"/>
  <c r="P9" i="2"/>
  <c r="P525" i="2"/>
  <c r="M523" i="2"/>
  <c r="P523" i="2" s="1"/>
  <c r="I180" i="1"/>
  <c r="K180" i="1" s="1"/>
  <c r="L28" i="2"/>
  <c r="O28" i="2" s="1"/>
  <c r="O20" i="2"/>
  <c r="L10" i="2"/>
  <c r="L8" i="2" s="1"/>
  <c r="O13" i="2"/>
  <c r="P421" i="2"/>
  <c r="M419" i="2"/>
  <c r="P18" i="2"/>
  <c r="N467" i="1"/>
  <c r="O467" i="1" s="1"/>
  <c r="P469" i="1"/>
  <c r="P20" i="2"/>
  <c r="N37" i="2"/>
  <c r="L414" i="2"/>
  <c r="O414" i="2" s="1"/>
  <c r="O419" i="2"/>
  <c r="N10" i="2"/>
  <c r="N8" i="2" s="1"/>
  <c r="O9" i="2"/>
  <c r="P33" i="2"/>
  <c r="M30" i="2"/>
  <c r="M31" i="2"/>
  <c r="P31" i="2" s="1"/>
  <c r="O16" i="2"/>
  <c r="L14" i="2"/>
  <c r="O14" i="2" s="1"/>
  <c r="L37" i="2"/>
  <c r="P16" i="2"/>
  <c r="M14" i="2"/>
  <c r="P14" i="2" s="1"/>
  <c r="M10" i="2"/>
  <c r="P13" i="2"/>
  <c r="P687" i="2"/>
  <c r="M685" i="2"/>
  <c r="P685" i="2" s="1"/>
  <c r="M37" i="2"/>
  <c r="L11" i="2"/>
  <c r="O11" i="2" s="1"/>
  <c r="O88" i="2"/>
  <c r="P53" i="1"/>
  <c r="P422" i="1"/>
  <c r="O277" i="1"/>
  <c r="O328" i="1"/>
  <c r="K669" i="1"/>
  <c r="J654" i="1"/>
  <c r="K654" i="1" s="1"/>
  <c r="P41" i="1"/>
  <c r="O525" i="1"/>
  <c r="N523" i="1"/>
  <c r="O523" i="1" s="1"/>
  <c r="O165" i="1"/>
  <c r="N11" i="1"/>
  <c r="O11" i="1" s="1"/>
  <c r="P525" i="1"/>
  <c r="M523" i="1"/>
  <c r="M414" i="1" s="1"/>
  <c r="N37" i="1"/>
  <c r="N629" i="1"/>
  <c r="P631" i="1"/>
  <c r="P24" i="1"/>
  <c r="N444" i="1"/>
  <c r="P446" i="1"/>
  <c r="P119" i="1"/>
  <c r="O119" i="1"/>
  <c r="N14" i="1"/>
  <c r="P16" i="1"/>
  <c r="P447" i="1"/>
  <c r="O447" i="1"/>
  <c r="P547" i="1"/>
  <c r="O547" i="1"/>
  <c r="P345" i="1"/>
  <c r="P658" i="1"/>
  <c r="O658" i="1"/>
  <c r="O631" i="1"/>
  <c r="O13" i="1"/>
  <c r="L10" i="1"/>
  <c r="O21" i="1"/>
  <c r="L37" i="1"/>
  <c r="M37" i="1"/>
  <c r="P419" i="1"/>
  <c r="N655" i="1"/>
  <c r="O657" i="1"/>
  <c r="N30" i="1"/>
  <c r="N31" i="1"/>
  <c r="O31" i="1" s="1"/>
  <c r="O33" i="1"/>
  <c r="N18" i="1"/>
  <c r="P18" i="1" s="1"/>
  <c r="P20" i="1"/>
  <c r="O9" i="1"/>
  <c r="P546" i="1"/>
  <c r="N544" i="1"/>
  <c r="O20" i="1"/>
  <c r="L18" i="1"/>
  <c r="O632" i="1"/>
  <c r="P632" i="1"/>
  <c r="O10" i="8" l="1"/>
  <c r="M11" i="22"/>
  <c r="P11" i="22" s="1"/>
  <c r="P13" i="22"/>
  <c r="M28" i="22"/>
  <c r="P28" i="22" s="1"/>
  <c r="P37" i="22"/>
  <c r="P37" i="23"/>
  <c r="O13" i="23"/>
  <c r="P13" i="23"/>
  <c r="N11" i="23"/>
  <c r="O11" i="23" s="1"/>
  <c r="O10" i="23"/>
  <c r="P10" i="23"/>
  <c r="O8" i="23"/>
  <c r="O37" i="23"/>
  <c r="P31" i="23"/>
  <c r="N414" i="23"/>
  <c r="O414" i="23" s="1"/>
  <c r="O419" i="23"/>
  <c r="M414" i="23"/>
  <c r="P419" i="23"/>
  <c r="P30" i="23"/>
  <c r="M28" i="23"/>
  <c r="P28" i="23" s="1"/>
  <c r="O10" i="22"/>
  <c r="M8" i="23"/>
  <c r="P8" i="23" s="1"/>
  <c r="O30" i="23"/>
  <c r="P10" i="22"/>
  <c r="O37" i="22"/>
  <c r="L8" i="22"/>
  <c r="O8" i="22" s="1"/>
  <c r="M8" i="22"/>
  <c r="P8" i="22" s="1"/>
  <c r="O10" i="21"/>
  <c r="M414" i="22"/>
  <c r="P414" i="22" s="1"/>
  <c r="M11" i="21"/>
  <c r="P11" i="21" s="1"/>
  <c r="M10" i="21"/>
  <c r="P10" i="21" s="1"/>
  <c r="L8" i="21"/>
  <c r="O8" i="21" s="1"/>
  <c r="M414" i="21"/>
  <c r="P414" i="21" s="1"/>
  <c r="P30" i="21"/>
  <c r="M28" i="21"/>
  <c r="P28" i="21" s="1"/>
  <c r="P37" i="21"/>
  <c r="O37" i="21"/>
  <c r="P10" i="20"/>
  <c r="O10" i="20"/>
  <c r="P37" i="20"/>
  <c r="O37" i="20"/>
  <c r="M8" i="20"/>
  <c r="P8" i="20" s="1"/>
  <c r="P30" i="20"/>
  <c r="M28" i="20"/>
  <c r="P28" i="20" s="1"/>
  <c r="P444" i="20"/>
  <c r="M414" i="20"/>
  <c r="P414" i="20" s="1"/>
  <c r="O8" i="20"/>
  <c r="O37" i="19"/>
  <c r="P37" i="19"/>
  <c r="O10" i="18"/>
  <c r="O10" i="19"/>
  <c r="P30" i="19"/>
  <c r="M28" i="19"/>
  <c r="P28" i="19" s="1"/>
  <c r="O8" i="19"/>
  <c r="M10" i="19"/>
  <c r="P13" i="19"/>
  <c r="M11" i="19"/>
  <c r="P11" i="19" s="1"/>
  <c r="M414" i="19"/>
  <c r="P414" i="19" s="1"/>
  <c r="P419" i="19"/>
  <c r="P37" i="18"/>
  <c r="P10" i="18"/>
  <c r="M8" i="18"/>
  <c r="P8" i="18" s="1"/>
  <c r="M11" i="18"/>
  <c r="P11" i="18" s="1"/>
  <c r="O37" i="18"/>
  <c r="P13" i="18"/>
  <c r="L8" i="18"/>
  <c r="O8" i="18" s="1"/>
  <c r="O18" i="18"/>
  <c r="P467" i="18"/>
  <c r="M414" i="18"/>
  <c r="P414" i="18" s="1"/>
  <c r="O11" i="18"/>
  <c r="P30" i="16"/>
  <c r="O10" i="16"/>
  <c r="P13" i="16"/>
  <c r="M414" i="16"/>
  <c r="P414" i="16" s="1"/>
  <c r="M11" i="16"/>
  <c r="P11" i="16" s="1"/>
  <c r="P37" i="16"/>
  <c r="L8" i="16"/>
  <c r="O8" i="16" s="1"/>
  <c r="O37" i="16"/>
  <c r="P10" i="16"/>
  <c r="M8" i="16"/>
  <c r="P8" i="16" s="1"/>
  <c r="O37" i="15"/>
  <c r="P37" i="14"/>
  <c r="M10" i="15"/>
  <c r="P13" i="15"/>
  <c r="M11" i="15"/>
  <c r="P11" i="15" s="1"/>
  <c r="M414" i="15"/>
  <c r="P414" i="15" s="1"/>
  <c r="P37" i="13"/>
  <c r="O37" i="13"/>
  <c r="O11" i="15"/>
  <c r="P30" i="15"/>
  <c r="M28" i="15"/>
  <c r="P28" i="15" s="1"/>
  <c r="O10" i="15"/>
  <c r="L8" i="15"/>
  <c r="O8" i="15" s="1"/>
  <c r="O37" i="14"/>
  <c r="O10" i="13"/>
  <c r="M10" i="14"/>
  <c r="P13" i="14"/>
  <c r="M11" i="14"/>
  <c r="P11" i="14" s="1"/>
  <c r="O10" i="14"/>
  <c r="P30" i="14"/>
  <c r="M28" i="14"/>
  <c r="P28" i="14" s="1"/>
  <c r="O8" i="14"/>
  <c r="P467" i="14"/>
  <c r="M414" i="14"/>
  <c r="P414" i="14" s="1"/>
  <c r="L8" i="13"/>
  <c r="O8" i="13" s="1"/>
  <c r="P11" i="12"/>
  <c r="P419" i="13"/>
  <c r="M414" i="13"/>
  <c r="P414" i="13" s="1"/>
  <c r="P37" i="12"/>
  <c r="M10" i="13"/>
  <c r="P13" i="13"/>
  <c r="M11" i="13"/>
  <c r="P11" i="13" s="1"/>
  <c r="P30" i="13"/>
  <c r="M28" i="13"/>
  <c r="P28" i="13" s="1"/>
  <c r="O37" i="12"/>
  <c r="O37" i="11"/>
  <c r="P414" i="11"/>
  <c r="P10" i="12"/>
  <c r="M8" i="12"/>
  <c r="P8" i="12" s="1"/>
  <c r="L8" i="12"/>
  <c r="O8" i="12" s="1"/>
  <c r="P30" i="12"/>
  <c r="M28" i="12"/>
  <c r="P28" i="12" s="1"/>
  <c r="P444" i="12"/>
  <c r="M414" i="12"/>
  <c r="P414" i="12" s="1"/>
  <c r="L8" i="10"/>
  <c r="O8" i="10" s="1"/>
  <c r="P10" i="11"/>
  <c r="O10" i="11"/>
  <c r="M28" i="11"/>
  <c r="P28" i="11" s="1"/>
  <c r="P30" i="11"/>
  <c r="L8" i="11"/>
  <c r="O8" i="11" s="1"/>
  <c r="P37" i="11"/>
  <c r="O414" i="11"/>
  <c r="M8" i="11"/>
  <c r="P8" i="11" s="1"/>
  <c r="O37" i="10"/>
  <c r="P37" i="10"/>
  <c r="P11" i="10"/>
  <c r="M414" i="10"/>
  <c r="P414" i="10" s="1"/>
  <c r="P419" i="10"/>
  <c r="P30" i="10"/>
  <c r="M28" i="10"/>
  <c r="P28" i="10" s="1"/>
  <c r="P10" i="10"/>
  <c r="M8" i="10"/>
  <c r="P8" i="10" s="1"/>
  <c r="P10" i="9"/>
  <c r="O37" i="5"/>
  <c r="P37" i="6"/>
  <c r="M28" i="6"/>
  <c r="P28" i="6" s="1"/>
  <c r="M28" i="7"/>
  <c r="P28" i="7" s="1"/>
  <c r="P37" i="8"/>
  <c r="O37" i="8"/>
  <c r="O10" i="9"/>
  <c r="P11" i="6"/>
  <c r="O8" i="9"/>
  <c r="P13" i="6"/>
  <c r="P37" i="9"/>
  <c r="P30" i="9"/>
  <c r="M28" i="9"/>
  <c r="P28" i="9" s="1"/>
  <c r="M10" i="6"/>
  <c r="M8" i="6" s="1"/>
  <c r="P8" i="6" s="1"/>
  <c r="M10" i="7"/>
  <c r="M8" i="7" s="1"/>
  <c r="P8" i="7" s="1"/>
  <c r="P419" i="9"/>
  <c r="M414" i="9"/>
  <c r="P414" i="9" s="1"/>
  <c r="M8" i="9"/>
  <c r="P8" i="9" s="1"/>
  <c r="O37" i="9"/>
  <c r="P13" i="7"/>
  <c r="P10" i="8"/>
  <c r="P30" i="8"/>
  <c r="M28" i="8"/>
  <c r="P28" i="8" s="1"/>
  <c r="M8" i="8"/>
  <c r="P8" i="8" s="1"/>
  <c r="P37" i="7"/>
  <c r="P11" i="8"/>
  <c r="L8" i="8"/>
  <c r="O8" i="8" s="1"/>
  <c r="M414" i="8"/>
  <c r="P414" i="8" s="1"/>
  <c r="P419" i="8"/>
  <c r="M13" i="1"/>
  <c r="M10" i="1" s="1"/>
  <c r="O10" i="7"/>
  <c r="L8" i="7"/>
  <c r="O8" i="7" s="1"/>
  <c r="M11" i="4"/>
  <c r="P11" i="4" s="1"/>
  <c r="O37" i="7"/>
  <c r="P13" i="5"/>
  <c r="O18" i="1"/>
  <c r="M414" i="7"/>
  <c r="P414" i="7" s="1"/>
  <c r="O10" i="6"/>
  <c r="M10" i="5"/>
  <c r="P10" i="5" s="1"/>
  <c r="O37" i="6"/>
  <c r="M10" i="4"/>
  <c r="M8" i="4" s="1"/>
  <c r="P8" i="4" s="1"/>
  <c r="O8" i="6"/>
  <c r="P37" i="5"/>
  <c r="O11" i="6"/>
  <c r="M31" i="1"/>
  <c r="P31" i="1" s="1"/>
  <c r="P33" i="1"/>
  <c r="P467" i="6"/>
  <c r="M414" i="6"/>
  <c r="P414" i="6" s="1"/>
  <c r="P30" i="4"/>
  <c r="P11" i="5"/>
  <c r="O11" i="5"/>
  <c r="P28" i="5"/>
  <c r="O8" i="4"/>
  <c r="P31" i="5"/>
  <c r="P30" i="5"/>
  <c r="O30" i="5"/>
  <c r="Q444" i="5"/>
  <c r="P444" i="5"/>
  <c r="M414" i="5"/>
  <c r="P414" i="5" s="1"/>
  <c r="O37" i="3"/>
  <c r="O10" i="5"/>
  <c r="L8" i="5"/>
  <c r="O8" i="5" s="1"/>
  <c r="O11" i="3"/>
  <c r="P37" i="3"/>
  <c r="O10" i="1"/>
  <c r="O37" i="4"/>
  <c r="P37" i="4"/>
  <c r="O10" i="4"/>
  <c r="M414" i="4"/>
  <c r="P414" i="4" s="1"/>
  <c r="L8" i="3"/>
  <c r="O8" i="3" s="1"/>
  <c r="P30" i="3"/>
  <c r="M28" i="3"/>
  <c r="P28" i="3" s="1"/>
  <c r="P10" i="3"/>
  <c r="M8" i="3"/>
  <c r="P8" i="3" s="1"/>
  <c r="P11" i="3"/>
  <c r="P467" i="3"/>
  <c r="M414" i="3"/>
  <c r="P414" i="3" s="1"/>
  <c r="P10" i="2"/>
  <c r="O37" i="2"/>
  <c r="P30" i="2"/>
  <c r="M28" i="2"/>
  <c r="P28" i="2" s="1"/>
  <c r="O8" i="2"/>
  <c r="O10" i="2"/>
  <c r="M8" i="2"/>
  <c r="P8" i="2" s="1"/>
  <c r="P37" i="2"/>
  <c r="P467" i="1"/>
  <c r="M414" i="2"/>
  <c r="P414" i="2" s="1"/>
  <c r="P419" i="2"/>
  <c r="L8" i="1"/>
  <c r="O8" i="1" s="1"/>
  <c r="P523" i="1"/>
  <c r="P37" i="1"/>
  <c r="O37" i="1"/>
  <c r="O655" i="1"/>
  <c r="P655" i="1"/>
  <c r="O629" i="1"/>
  <c r="P629" i="1"/>
  <c r="P544" i="1"/>
  <c r="O544" i="1"/>
  <c r="N28" i="1"/>
  <c r="O28" i="1" s="1"/>
  <c r="O30" i="1"/>
  <c r="O14" i="1"/>
  <c r="P14" i="1"/>
  <c r="P30" i="1"/>
  <c r="M28" i="1"/>
  <c r="P444" i="1"/>
  <c r="N414" i="1"/>
  <c r="O414" i="1" s="1"/>
  <c r="O444" i="1"/>
  <c r="P10" i="6" l="1"/>
  <c r="P11" i="23"/>
  <c r="P414" i="23"/>
  <c r="M8" i="21"/>
  <c r="P8" i="21" s="1"/>
  <c r="P10" i="19"/>
  <c r="M8" i="19"/>
  <c r="P8" i="19" s="1"/>
  <c r="P10" i="15"/>
  <c r="M8" i="15"/>
  <c r="P8" i="15" s="1"/>
  <c r="P10" i="14"/>
  <c r="M8" i="14"/>
  <c r="P8" i="14" s="1"/>
  <c r="P10" i="13"/>
  <c r="M8" i="13"/>
  <c r="P8" i="13" s="1"/>
  <c r="P10" i="4"/>
  <c r="P10" i="7"/>
  <c r="M11" i="1"/>
  <c r="P11" i="1" s="1"/>
  <c r="P13" i="1"/>
  <c r="M8" i="5"/>
  <c r="P8" i="5" s="1"/>
  <c r="P28" i="1"/>
  <c r="P10" i="1"/>
  <c r="M8" i="1"/>
  <c r="P8" i="1" s="1"/>
  <c r="P4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65D6B6AF-DEC4-49EB-9238-0FDDAEDB6DA2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<sst xmlns="http://schemas.openxmlformats.org/spreadsheetml/2006/main" count="34126" uniqueCount="367">
  <si>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</si>
  <si>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</si>
  <si>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</si>
  <si>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</si>
  <si>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</si>
  <si>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</si>
  <si>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</si>
  <si>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</si>
  <si>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</si>
  <si>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</si>
  <si>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</si>
  <si>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</si>
  <si>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</si>
  <si>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</si>
  <si>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</si>
  <si>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</si>
  <si>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</si>
  <si>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</si>
  <si>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</si>
  <si>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</si>
  <si>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</si>
  <si>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</si>
  <si>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</si>
  <si>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</si>
  <si>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</si>
  <si>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</si>
  <si>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</si>
  <si>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</si>
  <si>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</si>
  <si>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</si>
  <si>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</si>
  <si>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</si>
  <si>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</si>
  <si>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</si>
  <si>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</si>
  <si>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</si>
  <si>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</si>
  <si>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</si>
  <si>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</si>
  <si>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</si>
  <si>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</si>
  <si>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</si>
  <si>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</si>
  <si>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</si>
  <si>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</si>
  <si>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</si>
  <si>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</si>
  <si>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</si>
  <si>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</si>
  <si>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</si>
  <si>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</si>
  <si>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</si>
  <si>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</si>
  <si>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</si>
  <si>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</si>
  <si>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</si>
  <si>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</si>
  <si>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</si>
  <si>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</si>
  <si>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</si>
  <si>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</si>
  <si>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</si>
  <si>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</si>
  <si>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</si>
  <si>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</si>
  <si>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</si>
  <si>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</si>
  <si>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</si>
  <si>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</si>
  <si>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</si>
  <si>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</si>
  <si>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</si>
  <si>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</si>
  <si>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</si>
  <si>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</si>
  <si>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</si>
  <si>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</si>
  <si>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</si>
  <si>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</si>
  <si>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</si>
  <si>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</si>
  <si>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</si>
  <si>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</si>
  <si>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</si>
  <si>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</si>
  <si>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</si>
  <si>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</si>
  <si>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</si>
  <si>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</si>
  <si>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</si>
  <si>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</si>
  <si>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</si>
  <si>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</si>
  <si>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</si>
  <si>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</si>
  <si>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</si>
  <si>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</si>
  <si>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</si>
  <si>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</si>
  <si>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</si>
  <si>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</si>
  <si>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</si>
  <si>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</si>
  <si>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</si>
  <si>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</si>
  <si>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</si>
  <si>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</si>
  <si>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</si>
  <si>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</si>
  <si>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</si>
  <si>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</si>
  <si>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</si>
  <si>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</si>
  <si>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</si>
  <si>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</si>
  <si>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</si>
  <si>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</si>
  <si>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</si>
  <si>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</si>
  <si>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</si>
  <si>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</si>
  <si>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</si>
  <si>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</si>
  <si>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</si>
  <si>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</si>
  <si>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</si>
  <si>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</si>
  <si>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</si>
  <si>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</si>
  <si>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</si>
  <si>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</si>
  <si>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</si>
  <si>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</si>
  <si>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</si>
  <si>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</si>
  <si>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</si>
  <si>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</si>
  <si>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</si>
  <si>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</si>
  <si>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</si>
  <si>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</si>
  <si>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</si>
  <si>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</si>
  <si>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</si>
  <si>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</si>
  <si>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</si>
  <si>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</si>
  <si>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</si>
  <si>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</si>
  <si>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</si>
  <si>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</si>
  <si>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</si>
  <si>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</si>
  <si>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</si>
  <si>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</si>
  <si>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</si>
  <si>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</si>
  <si>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</si>
  <si>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</si>
  <si>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</si>
  <si>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</si>
  <si>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</si>
  <si>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</si>
  <si>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</si>
  <si>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</si>
  <si>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</si>
  <si>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</si>
  <si>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</si>
  <si>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</si>
  <si>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</si>
  <si>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</si>
  <si>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</si>
  <si>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</si>
  <si>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</si>
  <si>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</si>
  <si>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</si>
  <si>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</si>
  <si>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</si>
  <si>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</si>
  <si>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</si>
  <si>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</si>
  <si>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</si>
  <si>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</si>
  <si>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</si>
  <si>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</si>
  <si>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</si>
  <si>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</si>
  <si>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</si>
  <si>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</si>
  <si>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</si>
  <si>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</si>
  <si>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</si>
  <si>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</si>
  <si>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</si>
  <si>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</si>
  <si>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</si>
  <si>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</si>
  <si>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</si>
  <si>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</si>
  <si>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</si>
  <si>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</si>
  <si>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</si>
  <si>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</si>
  <si>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</si>
  <si>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</si>
  <si>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</si>
  <si>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</si>
  <si>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</si>
  <si>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</si>
  <si>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</si>
  <si>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</si>
  <si>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</si>
  <si>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</si>
  <si>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</si>
  <si>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</si>
  <si>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</si>
  <si>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</si>
  <si>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</si>
  <si>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</si>
  <si>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</si>
  <si>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</si>
  <si>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</si>
  <si>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</si>
  <si>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</si>
  <si>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</si>
  <si>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</si>
  <si>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</si>
  <si>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</si>
  <si>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</si>
  <si>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</si>
  <si>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</si>
  <si>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</si>
  <si>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</si>
  <si>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</si>
  <si>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</si>
  <si>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</si>
  <si>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</si>
  <si>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</si>
  <si>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</si>
  <si>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</si>
  <si>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</si>
  <si>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</si>
  <si>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</si>
  <si>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</si>
  <si>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</si>
  <si>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</si>
  <si>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</si>
  <si>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</si>
  <si>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</si>
  <si>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</si>
  <si>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</si>
  <si>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</si>
  <si>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</si>
  <si>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</si>
  <si>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</si>
  <si>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</si>
  <si>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</si>
  <si>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</si>
  <si>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</si>
  <si>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</si>
  <si>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</si>
  <si>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</si>
  <si>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</si>
  <si>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</si>
  <si>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</si>
  <si>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</si>
  <si>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</si>
  <si>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</si>
  <si>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</si>
  <si>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</si>
  <si>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</si>
  <si>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</si>
  <si>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</si>
  <si>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</si>
  <si>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</si>
  <si>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</si>
  <si>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</si>
  <si>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</si>
  <si>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</si>
  <si>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</si>
  <si>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</si>
  <si>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</si>
  <si>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</si>
  <si>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</si>
  <si>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</si>
  <si>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</si>
  <si>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</si>
  <si>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</si>
  <si>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</si>
  <si>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</si>
  <si>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</si>
  <si>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</si>
  <si>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</si>
  <si>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</si>
  <si>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</si>
  <si>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</si>
  <si>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</si>
  <si>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</si>
  <si>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</si>
  <si>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</si>
  <si>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</si>
  <si>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</si>
  <si>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</si>
  <si>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</si>
  <si>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</si>
  <si>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</si>
  <si>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</si>
  <si>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</si>
  <si>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</si>
  <si>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</si>
  <si>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</si>
  <si>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</si>
  <si>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</si>
  <si>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</si>
  <si>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</si>
  <si>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</si>
  <si>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</si>
  <si>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</si>
  <si>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</si>
  <si>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</si>
  <si>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</si>
  <si>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</si>
  <si>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</si>
  <si>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</si>
  <si>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</si>
  <si>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</si>
  <si>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</si>
  <si>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</si>
  <si>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</si>
  <si>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การดำเนินงานกองทุนการปฏิรูปที่ดินเพื่อเกษตรกรรม (ใช้ข้อมูลจาก สบท.)</t>
  </si>
  <si>
    <t>*ข้อมูลจาก ALRO Land Online</t>
  </si>
  <si>
    <t>(5) โครงการพัฒนาพื้นที่สูงแบบโครงการหลวงห้วยเขย่ง</t>
  </si>
  <si>
    <t>สำนักงานการปฏิรูปที่ดินจังหวัด กาญจนบุรี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</si>
  <si>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</si>
  <si>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จันทบุรี</t>
  </si>
  <si>
    <t xml:space="preserve">(6) โครงการพัชรสุธาคชานุรักษ์ </t>
  </si>
  <si>
    <t>(5) โครงการที่ดินพระราชทาน</t>
  </si>
  <si>
    <t>สำนักงานการปฏิรูปที่ดินจังหวัด ฉะเชิงเทรา</t>
  </si>
  <si>
    <t>รับโอนเพิ่ม</t>
  </si>
  <si>
    <t>โอนคืนกลับส่วนกลาง เดือนกันยายน 2566</t>
  </si>
  <si>
    <t>รับโอนเพิ่มเดือนกันยายน 2566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</si>
  <si>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</si>
  <si>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</si>
  <si>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</si>
  <si>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 xml:space="preserve">(5) โครงการที่ดินพระราชทาน  </t>
  </si>
  <si>
    <t>สำนักงานการปฏิรูปที่ดินจังหวัด นครนายก</t>
  </si>
  <si>
    <t>- โรงเรียน/แปลง</t>
  </si>
  <si>
    <t>- รายโรงเรียน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</si>
  <si>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</si>
  <si>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</si>
  <si>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</si>
  <si>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</si>
  <si>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</si>
  <si>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</si>
  <si>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</si>
  <si>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</si>
  <si>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</si>
  <si>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</si>
  <si>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</si>
  <si>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 xml:space="preserve">งานพิพาท 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</si>
  <si>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</si>
  <si>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</si>
  <si>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</si>
  <si>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ศทส. จะเป็นผู้ประมวลผลให้ กลุ่มติดตามจึงจะนำข้อมูลมาอัพเดทใน GG Sheet อีกครั้งค่ะ</t>
  </si>
  <si>
    <t xml:space="preserve">ตอนนี้อยู่ระหว่างประสานงานกับศูนย์เทคฯค่ะ เรื่องข้อมูล </t>
  </si>
  <si>
    <t>สำนักงานการปฏิรูปที่ดินจังหวัด อ่างทอง</t>
  </si>
  <si>
    <t>ข้อมูล ณ วันที 30 กันยายน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</si>
</sst>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000_-;\-* #,##0.0000_-;_-* &quot;-&quot;_-;_-@"/>
  </numFmts>
  <fonts count="78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sz val="12"/>
      <color rgb="FFFF0000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1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0" fontId="41" fillId="21" borderId="10" xfId="0" applyFont="1" applyFill="1" applyBorder="1" applyAlignment="1"/>
    <xf numFmtId="189" fontId="4" fillId="30" borderId="11" xfId="0" applyNumberFormat="1" applyFont="1" applyFill="1" applyBorder="1" applyAlignment="1"/>
    <xf numFmtId="0" fontId="42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3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4" fillId="0" borderId="9" xfId="0" applyNumberFormat="1" applyFont="1" applyBorder="1" applyAlignment="1"/>
    <xf numFmtId="187" fontId="45" fillId="8" borderId="9" xfId="0" applyNumberFormat="1" applyFont="1" applyFill="1" applyBorder="1" applyAlignment="1"/>
    <xf numFmtId="187" fontId="45" fillId="8" borderId="10" xfId="0" applyNumberFormat="1" applyFont="1" applyFill="1" applyBorder="1" applyAlignment="1"/>
    <xf numFmtId="0" fontId="46" fillId="8" borderId="10" xfId="0" applyFont="1" applyFill="1" applyBorder="1" applyAlignment="1"/>
    <xf numFmtId="0" fontId="47" fillId="8" borderId="10" xfId="0" applyFont="1" applyFill="1" applyBorder="1" applyAlignment="1"/>
    <xf numFmtId="0" fontId="45" fillId="8" borderId="10" xfId="0" applyFont="1" applyFill="1" applyBorder="1" applyAlignment="1"/>
    <xf numFmtId="0" fontId="45" fillId="8" borderId="11" xfId="0" applyFont="1" applyFill="1" applyBorder="1" applyAlignment="1"/>
    <xf numFmtId="0" fontId="48" fillId="8" borderId="11" xfId="0" applyFont="1" applyFill="1" applyBorder="1" applyAlignment="1">
      <alignment horizontal="center"/>
    </xf>
    <xf numFmtId="189" fontId="48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188" fontId="49" fillId="8" borderId="11" xfId="0" applyNumberFormat="1" applyFont="1" applyFill="1" applyBorder="1" applyAlignment="1"/>
    <xf numFmtId="0" fontId="50" fillId="0" borderId="0" xfId="0" applyFont="1"/>
    <xf numFmtId="187" fontId="45" fillId="31" borderId="9" xfId="0" applyNumberFormat="1" applyFont="1" applyFill="1" applyBorder="1" applyAlignment="1"/>
    <xf numFmtId="187" fontId="45" fillId="31" borderId="10" xfId="0" applyNumberFormat="1" applyFont="1" applyFill="1" applyBorder="1" applyAlignment="1"/>
    <xf numFmtId="0" fontId="46" fillId="31" borderId="10" xfId="0" applyFont="1" applyFill="1" applyBorder="1" applyAlignment="1"/>
    <xf numFmtId="0" fontId="46" fillId="31" borderId="10" xfId="0" applyFont="1" applyFill="1" applyBorder="1" applyAlignment="1"/>
    <xf numFmtId="0" fontId="45" fillId="31" borderId="10" xfId="0" applyFont="1" applyFill="1" applyBorder="1" applyAlignment="1"/>
    <xf numFmtId="0" fontId="45" fillId="31" borderId="11" xfId="0" applyFont="1" applyFill="1" applyBorder="1" applyAlignment="1"/>
    <xf numFmtId="0" fontId="48" fillId="31" borderId="11" xfId="0" applyFont="1" applyFill="1" applyBorder="1" applyAlignment="1">
      <alignment horizontal="center"/>
    </xf>
    <xf numFmtId="189" fontId="48" fillId="31" borderId="11" xfId="0" applyNumberFormat="1" applyFont="1" applyFill="1" applyBorder="1" applyAlignment="1"/>
    <xf numFmtId="189" fontId="48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188" fontId="49" fillId="31" borderId="11" xfId="0" applyNumberFormat="1" applyFont="1" applyFill="1" applyBorder="1" applyAlignment="1"/>
    <xf numFmtId="0" fontId="51" fillId="31" borderId="10" xfId="0" applyFont="1" applyFill="1" applyBorder="1" applyAlignment="1"/>
    <xf numFmtId="0" fontId="49" fillId="31" borderId="11" xfId="0" applyFont="1" applyFill="1" applyBorder="1" applyAlignment="1"/>
    <xf numFmtId="189" fontId="49" fillId="31" borderId="11" xfId="0" applyNumberFormat="1" applyFont="1" applyFill="1" applyBorder="1" applyAlignment="1"/>
    <xf numFmtId="41" fontId="48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2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3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5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7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8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9" fillId="2" borderId="11" xfId="0" applyFont="1" applyFill="1" applyBorder="1" applyAlignment="1"/>
    <xf numFmtId="187" fontId="60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1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2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3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4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5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7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68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9" fillId="2" borderId="10" xfId="0" applyFont="1" applyFill="1" applyBorder="1" applyAlignment="1"/>
    <xf numFmtId="0" fontId="9" fillId="2" borderId="10" xfId="0" applyFont="1" applyFill="1" applyBorder="1" applyAlignment="1"/>
    <xf numFmtId="0" fontId="70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5" fillId="2" borderId="10" xfId="0" applyFont="1" applyFill="1" applyBorder="1" applyAlignment="1"/>
    <xf numFmtId="0" fontId="4" fillId="0" borderId="5" xfId="0" applyFont="1" applyBorder="1" applyAlignment="1"/>
    <xf numFmtId="0" fontId="71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2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3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7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5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6" fillId="10" borderId="11" xfId="0" applyFont="1" applyFill="1" applyBorder="1" applyAlignment="1">
      <alignment horizontal="left"/>
    </xf>
    <xf numFmtId="187" fontId="61" fillId="21" borderId="10" xfId="0" applyNumberFormat="1" applyFont="1" applyFill="1" applyBorder="1" applyAlignment="1"/>
    <xf numFmtId="187" fontId="4" fillId="0" borderId="11" xfId="0" applyNumberFormat="1" applyFont="1" applyBorder="1" applyAlignment="1"/>
    <xf numFmtId="0" fontId="56" fillId="21" borderId="10" xfId="0" applyFont="1" applyFill="1" applyBorder="1" applyAlignment="1"/>
    <xf numFmtId="188" fontId="6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9" fontId="4" fillId="39" borderId="11" xfId="0" applyNumberFormat="1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0" fontId="61" fillId="21" borderId="10" xfId="0" applyFont="1" applyFill="1" applyBorder="1" applyAlignment="1"/>
    <xf numFmtId="187" fontId="56" fillId="21" borderId="10" xfId="0" applyNumberFormat="1" applyFont="1" applyFill="1" applyBorder="1" applyAlignment="1"/>
    <xf numFmtId="0" fontId="56" fillId="21" borderId="10" xfId="0" quotePrefix="1" applyFont="1" applyFill="1" applyBorder="1" applyAlignment="1"/>
    <xf numFmtId="0" fontId="61" fillId="21" borderId="10" xfId="0" quotePrefix="1" applyFont="1" applyFill="1" applyBorder="1" applyAlignment="1"/>
    <xf numFmtId="187" fontId="56" fillId="21" borderId="10" xfId="0" quotePrefix="1" applyNumberFormat="1" applyFont="1" applyFill="1" applyBorder="1" applyAlignment="1"/>
    <xf numFmtId="0" fontId="5" fillId="21" borderId="13" xfId="0" quotePrefix="1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21" borderId="10" xfId="0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189" fontId="4" fillId="27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8" fontId="29" fillId="22" borderId="11" xfId="0" applyNumberFormat="1" applyFont="1" applyFill="1" applyBorder="1" applyAlignment="1"/>
    <xf numFmtId="0" fontId="5" fillId="2" borderId="13" xfId="0" quotePrefix="1" applyFont="1" applyFill="1" applyBorder="1" applyAlignment="1"/>
    <xf numFmtId="188" fontId="9" fillId="2" borderId="14" xfId="0" applyNumberFormat="1" applyFont="1" applyFill="1" applyBorder="1" applyAlignment="1"/>
    <xf numFmtId="0" fontId="27" fillId="2" borderId="13" xfId="0" applyFont="1" applyFill="1" applyBorder="1" applyAlignment="1"/>
    <xf numFmtId="0" fontId="23" fillId="2" borderId="18" xfId="0" applyFont="1" applyFill="1" applyBorder="1" applyAlignment="1"/>
    <xf numFmtId="0" fontId="5" fillId="9" borderId="10" xfId="0" applyFont="1" applyFill="1" applyBorder="1" applyAlignment="1"/>
    <xf numFmtId="0" fontId="5" fillId="18" borderId="13" xfId="0" applyFont="1" applyFill="1" applyBorder="1" applyAlignment="1"/>
    <xf numFmtId="0" fontId="5" fillId="14" borderId="13" xfId="0" applyFont="1" applyFill="1" applyBorder="1" applyAlignment="1"/>
    <xf numFmtId="188" fontId="4" fillId="2" borderId="0" xfId="0" applyNumberFormat="1" applyFont="1" applyFill="1" applyAlignment="1"/>
    <xf numFmtId="189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7" fontId="4" fillId="2" borderId="0" xfId="0" applyNumberFormat="1" applyFont="1" applyFill="1" applyAlignment="1"/>
    <xf numFmtId="188" fontId="2" fillId="0" borderId="0" xfId="0" applyNumberFormat="1" applyFont="1" applyAlignment="1"/>
    <xf numFmtId="189" fontId="4" fillId="21" borderId="11" xfId="0" applyNumberFormat="1" applyFont="1" applyFill="1" applyBorder="1" applyAlignment="1"/>
    <xf numFmtId="188" fontId="32" fillId="2" borderId="11" xfId="0" applyNumberFormat="1" applyFont="1" applyFill="1" applyBorder="1" applyAlignment="1"/>
    <xf numFmtId="189" fontId="32" fillId="2" borderId="11" xfId="0" applyNumberFormat="1" applyFont="1" applyFill="1" applyBorder="1" applyAlignment="1"/>
    <xf numFmtId="187" fontId="32" fillId="2" borderId="11" xfId="0" applyNumberFormat="1" applyFont="1" applyFill="1" applyBorder="1" applyAlignment="1"/>
    <xf numFmtId="187" fontId="29" fillId="2" borderId="11" xfId="0" applyNumberFormat="1" applyFont="1" applyFill="1" applyBorder="1" applyAlignment="1"/>
    <xf numFmtId="0" fontId="4" fillId="22" borderId="11" xfId="0" applyFont="1" applyFill="1" applyBorder="1" applyAlignment="1"/>
    <xf numFmtId="191" fontId="4" fillId="22" borderId="4" xfId="0" applyNumberFormat="1" applyFont="1" applyFill="1" applyBorder="1" applyAlignment="1"/>
    <xf numFmtId="191" fontId="4" fillId="22" borderId="11" xfId="0" applyNumberFormat="1" applyFont="1" applyFill="1" applyBorder="1" applyAlignment="1"/>
    <xf numFmtId="193" fontId="4" fillId="22" borderId="11" xfId="0" applyNumberFormat="1" applyFont="1" applyFill="1" applyBorder="1" applyAlignment="1"/>
    <xf numFmtId="189" fontId="65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  <xf numFmtId="0" fontId="56" fillId="2" borderId="10" xfId="0" applyFont="1" applyFill="1" applyBorder="1" applyAlignment="1"/>
    <xf numFmtId="0" fontId="3" fillId="0" borderId="10" xfId="0" applyFont="1" applyBorder="1"/>
    <xf numFmtId="0" fontId="66" fillId="2" borderId="13" xfId="0" applyFont="1" applyFill="1" applyBorder="1" applyAlignment="1"/>
    <xf numFmtId="0" fontId="3" fillId="0" borderId="13" xfId="0" applyFont="1" applyBorder="1"/>
    <xf numFmtId="0" fontId="74" fillId="2" borderId="10" xfId="0" applyFont="1" applyFill="1" applyBorder="1" applyAlignment="1"/>
    <xf numFmtId="0" fontId="61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4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" fillId="0" borderId="10" xfId="0" applyFont="1" applyBorder="1" applyAlignment="1">
      <alignment horizontal="center"/>
    </xf>
    <xf numFmtId="0" fontId="5" fillId="2" borderId="13" xfId="0" applyFont="1" applyFill="1" applyBorder="1" applyAlignment="1"/>
    <xf numFmtId="0" fontId="56" fillId="2" borderId="13" xfId="0" applyFont="1" applyFill="1" applyBorder="1" applyAlignment="1"/>
    <xf numFmtId="0" fontId="62" fillId="2" borderId="10" xfId="0" applyFont="1" applyFill="1" applyBorder="1" applyAlignment="1"/>
    <xf numFmtId="188" fontId="1" fillId="7" borderId="27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view="pageBreakPreview" zoomScale="60" zoomScaleNormal="10" workbookViewId="0">
      <pane ySplit="6" topLeftCell="A7" activePane="bottomLeft" state="frozen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28515625" bestFit="1" customWidth="1"/>
    <col min="11" max="11" width="13" bestFit="1" customWidth="1"/>
    <col min="12" max="14" width="23.85546875" bestFit="1" customWidth="1"/>
    <col min="15" max="15" width="20.140625" bestFit="1" customWidth="1"/>
    <col min="16" max="16" width="22" bestFit="1" customWidth="1"/>
  </cols>
  <sheetData>
    <row r="1" spans="1:26" ht="20.25" customHeight="1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20.25" customHeight="1">
      <c r="A2" s="900" t="s">
        <v>1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20.25" customHeight="1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20.25" customHeight="1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20.25" customHeight="1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20.25" customHeight="1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t="shared" ref="L8:N8" ca="1" si="0">L9+L10</f>
        <v>92964864</v>
      </c>
      <c r="M8" s="21">
        <f t="shared" ca="1" si="0"/>
        <v>96102601.249999911</v>
      </c>
      <c r="N8" s="21">
        <f t="shared" ca="1" si="0"/>
        <v>96373484.223000005</v>
      </c>
      <c r="O8" s="21">
        <f t="shared" ref="O8:O16" ca="1" si="1">IF(L8&gt;0,N8*100/L8,0)</f>
        <v>103.66656828863862</v>
      </c>
      <c r="P8" s="21">
        <f t="shared" ref="P8:P16" ca="1" si="2">IF(M8&gt;0,N8*100/M8,0)</f>
        <v>100.28186851289846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0.25" hidden="1" customHeight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9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0.25" hidden="1" customHeight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ref="L10:N10" ca="1" si="4">L13+L16</f>
        <v>92964864</v>
      </c>
      <c r="M10" s="29">
        <f t="shared" ca="1" si="4"/>
        <v>96102601.249999911</v>
      </c>
      <c r="N10" s="29">
        <f t="shared" ca="1" si="4"/>
        <v>96373484.223000005</v>
      </c>
      <c r="O10" s="29">
        <f t="shared" ca="1" si="1"/>
        <v>103.66656828863862</v>
      </c>
      <c r="P10" s="29">
        <f t="shared" ca="1" si="2"/>
        <v>100.28186851289846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0.25" customHeight="1">
      <c r="A11" s="31"/>
      <c r="B11" s="32"/>
      <c r="C11" s="32"/>
      <c r="D11" s="33" t="s">
        <v>20</v>
      </c>
      <c r="E11" s="32"/>
      <c r="F11" s="32"/>
      <c r="G11" s="34"/>
      <c r="H11" s="35" t="s">
        <v>12</v>
      </c>
      <c r="I11" s="36"/>
      <c r="J11" s="36"/>
      <c r="K11" s="37"/>
      <c r="L11" s="37">
        <f t="shared" ref="L11:N11" ca="1" si="5">L12+L13</f>
        <v>82985664</v>
      </c>
      <c r="M11" s="37">
        <f t="shared" ca="1" si="5"/>
        <v>86199688.909999907</v>
      </c>
      <c r="N11" s="37">
        <f t="shared" ca="1" si="5"/>
        <v>86197477.583000004</v>
      </c>
      <c r="O11" s="37">
        <f t="shared" ca="1" si="1"/>
        <v>103.87032341272827</v>
      </c>
      <c r="P11" s="37">
        <f t="shared" ca="1" si="2"/>
        <v>99.997434646194364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0.25" hidden="1" customHeight="1">
      <c r="A12" s="38"/>
      <c r="B12" s="39"/>
      <c r="C12" s="39"/>
      <c r="D12" s="39"/>
      <c r="E12" s="40" t="s">
        <v>18</v>
      </c>
      <c r="F12" s="39"/>
      <c r="G12" s="41"/>
      <c r="H12" s="42" t="s">
        <v>12</v>
      </c>
      <c r="I12" s="43"/>
      <c r="J12" s="43"/>
      <c r="K12" s="44"/>
      <c r="L12" s="44">
        <f t="shared" ref="L12:N12" si="6">L22+L32</f>
        <v>0</v>
      </c>
      <c r="M12" s="44">
        <f t="shared" si="6"/>
        <v>0</v>
      </c>
      <c r="N12" s="44">
        <f t="shared" si="6"/>
        <v>0</v>
      </c>
      <c r="O12" s="44">
        <f t="shared" si="1"/>
        <v>0</v>
      </c>
      <c r="P12" s="44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20.25" hidden="1" customHeight="1">
      <c r="A13" s="38"/>
      <c r="B13" s="39"/>
      <c r="C13" s="39"/>
      <c r="D13" s="39"/>
      <c r="E13" s="40" t="s">
        <v>19</v>
      </c>
      <c r="F13" s="39"/>
      <c r="G13" s="41"/>
      <c r="H13" s="42" t="s">
        <v>12</v>
      </c>
      <c r="I13" s="43"/>
      <c r="J13" s="43"/>
      <c r="K13" s="44"/>
      <c r="L13" s="44">
        <f t="shared" ref="L13:N13" ca="1" si="7">L23+L33</f>
        <v>82985664</v>
      </c>
      <c r="M13" s="44">
        <f t="shared" ca="1" si="7"/>
        <v>86199688.909999907</v>
      </c>
      <c r="N13" s="44">
        <f t="shared" ca="1" si="7"/>
        <v>86197477.583000004</v>
      </c>
      <c r="O13" s="44">
        <f t="shared" ca="1" si="1"/>
        <v>103.87032341272827</v>
      </c>
      <c r="P13" s="44">
        <f t="shared" ca="1" si="2"/>
        <v>99.997434646194364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0.25" customHeight="1">
      <c r="A14" s="31"/>
      <c r="B14" s="32"/>
      <c r="C14" s="32"/>
      <c r="D14" s="33" t="s">
        <v>21</v>
      </c>
      <c r="E14" s="32"/>
      <c r="F14" s="32"/>
      <c r="G14" s="34"/>
      <c r="H14" s="35" t="s">
        <v>12</v>
      </c>
      <c r="I14" s="36"/>
      <c r="J14" s="36"/>
      <c r="K14" s="37"/>
      <c r="L14" s="37">
        <f t="shared" ref="L14:N14" ca="1" si="8">L15+L16</f>
        <v>9979200</v>
      </c>
      <c r="M14" s="37">
        <f t="shared" ca="1" si="8"/>
        <v>9902912.3399999999</v>
      </c>
      <c r="N14" s="37">
        <f t="shared" ca="1" si="8"/>
        <v>10176006.640000001</v>
      </c>
      <c r="O14" s="37">
        <f t="shared" ca="1" si="1"/>
        <v>101.97216851050185</v>
      </c>
      <c r="P14" s="37">
        <f t="shared" ca="1" si="2"/>
        <v>102.757717029332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0.25" hidden="1" customHeight="1">
      <c r="A15" s="38"/>
      <c r="B15" s="39"/>
      <c r="C15" s="39"/>
      <c r="D15" s="39"/>
      <c r="E15" s="40" t="s">
        <v>18</v>
      </c>
      <c r="F15" s="39"/>
      <c r="G15" s="41"/>
      <c r="H15" s="42" t="s">
        <v>12</v>
      </c>
      <c r="I15" s="43"/>
      <c r="J15" s="43"/>
      <c r="K15" s="44"/>
      <c r="L15" s="44">
        <f t="shared" ref="L15:N15" si="9">L25+L35</f>
        <v>0</v>
      </c>
      <c r="M15" s="44">
        <f t="shared" si="9"/>
        <v>0</v>
      </c>
      <c r="N15" s="44">
        <f t="shared" si="9"/>
        <v>0</v>
      </c>
      <c r="O15" s="44">
        <f t="shared" si="1"/>
        <v>0</v>
      </c>
      <c r="P15" s="44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0.25" hidden="1" customHeight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ref="L16:N16" ca="1" si="10">L26+L36</f>
        <v>9979200</v>
      </c>
      <c r="M16" s="51">
        <f t="shared" ca="1" si="10"/>
        <v>9902912.3399999999</v>
      </c>
      <c r="N16" s="51">
        <f t="shared" ca="1" si="10"/>
        <v>10176006.640000001</v>
      </c>
      <c r="O16" s="51">
        <f t="shared" ca="1" si="1"/>
        <v>101.97216851050185</v>
      </c>
      <c r="P16" s="51">
        <f t="shared" ca="1" si="2"/>
        <v>102.757717029332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0.25" customHeight="1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20.25" customHeight="1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t="shared" ref="L18:N18" ca="1" si="11">L19+L20</f>
        <v>69710033</v>
      </c>
      <c r="M18" s="21">
        <f t="shared" ca="1" si="11"/>
        <v>75160244.279999897</v>
      </c>
      <c r="N18" s="21">
        <f t="shared" ca="1" si="11"/>
        <v>75431127.25</v>
      </c>
      <c r="O18" s="21">
        <f t="shared" ref="O18:O26" ca="1" si="12">IF(L18&gt;0,N18*100/L18,0)</f>
        <v>108.20698829679223</v>
      </c>
      <c r="P18" s="21">
        <f t="shared" ref="P18:P26" ca="1" si="13">IF(M18&gt;0,N18*100/M18,0)</f>
        <v>100.36040725066162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0.25" hidden="1" customHeight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19" si="14">L22+L25</f>
        <v>0</v>
      </c>
      <c r="M19" s="29">
        <f t="shared" si="14"/>
        <v>0</v>
      </c>
      <c r="N19" s="29">
        <f t="shared" si="14"/>
        <v>0</v>
      </c>
      <c r="O19" s="29">
        <f t="shared" si="12"/>
        <v>0</v>
      </c>
      <c r="P19" s="29">
        <f t="shared" si="13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0.25" hidden="1" customHeight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ref="L20:N20" ca="1" si="15">L23+L26</f>
        <v>69710033</v>
      </c>
      <c r="M20" s="29">
        <f t="shared" ca="1" si="15"/>
        <v>75160244.279999897</v>
      </c>
      <c r="N20" s="29">
        <f t="shared" ca="1" si="15"/>
        <v>75431127.25</v>
      </c>
      <c r="O20" s="29">
        <f t="shared" ca="1" si="12"/>
        <v>108.20698829679223</v>
      </c>
      <c r="P20" s="29">
        <f t="shared" ca="1" si="13"/>
        <v>100.36040725066162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0.25" customHeight="1">
      <c r="A21" s="31"/>
      <c r="B21" s="32"/>
      <c r="C21" s="32"/>
      <c r="D21" s="33" t="s">
        <v>20</v>
      </c>
      <c r="E21" s="32"/>
      <c r="F21" s="32"/>
      <c r="G21" s="34"/>
      <c r="H21" s="35" t="s">
        <v>12</v>
      </c>
      <c r="I21" s="36"/>
      <c r="J21" s="36"/>
      <c r="K21" s="37"/>
      <c r="L21" s="37">
        <f t="shared" ref="L21:N21" ca="1" si="16">L22+L23</f>
        <v>59730833</v>
      </c>
      <c r="M21" s="37">
        <f t="shared" ca="1" si="16"/>
        <v>65257331.939999901</v>
      </c>
      <c r="N21" s="37">
        <f t="shared" ca="1" si="16"/>
        <v>65255120.609999999</v>
      </c>
      <c r="O21" s="37">
        <f t="shared" ca="1" si="12"/>
        <v>109.24863647891868</v>
      </c>
      <c r="P21" s="37">
        <f t="shared" ca="1" si="13"/>
        <v>99.996611369275811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20.25" hidden="1" customHeight="1">
      <c r="A22" s="38"/>
      <c r="B22" s="39"/>
      <c r="C22" s="39"/>
      <c r="D22" s="39"/>
      <c r="E22" s="40" t="s">
        <v>18</v>
      </c>
      <c r="F22" s="39"/>
      <c r="G22" s="41"/>
      <c r="H22" s="42" t="s">
        <v>12</v>
      </c>
      <c r="I22" s="43"/>
      <c r="J22" s="43"/>
      <c r="K22" s="44"/>
      <c r="L22" s="44">
        <f t="shared" ref="L22:N22" si="17">L45+L57+L70+L92+L123+L136+L153+L185+L169+L265+L281+L302+L319+L332+L349+L393+L406</f>
        <v>0</v>
      </c>
      <c r="M22" s="44">
        <f t="shared" si="17"/>
        <v>0</v>
      </c>
      <c r="N22" s="44">
        <f t="shared" si="17"/>
        <v>0</v>
      </c>
      <c r="O22" s="44">
        <f t="shared" si="12"/>
        <v>0</v>
      </c>
      <c r="P22" s="44">
        <f t="shared" si="13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0.25" hidden="1" customHeight="1">
      <c r="A23" s="38"/>
      <c r="B23" s="39"/>
      <c r="C23" s="39"/>
      <c r="D23" s="39"/>
      <c r="E23" s="40" t="s">
        <v>19</v>
      </c>
      <c r="F23" s="39"/>
      <c r="G23" s="41"/>
      <c r="H23" s="42" t="s">
        <v>12</v>
      </c>
      <c r="I23" s="43"/>
      <c r="J23" s="43"/>
      <c r="K23" s="44"/>
      <c r="L23" s="44">
        <f t="shared" ref="L23:N23" ca="1" si="18">L46+L58+L71+L93+L124+L137+L154+L186+L170+L266+L282+L303+L320+L333+L350+L394+L407</f>
        <v>59730833</v>
      </c>
      <c r="M23" s="44">
        <f t="shared" ca="1" si="18"/>
        <v>65257331.939999901</v>
      </c>
      <c r="N23" s="44">
        <f t="shared" ca="1" si="18"/>
        <v>65255120.609999999</v>
      </c>
      <c r="O23" s="44">
        <f t="shared" ca="1" si="12"/>
        <v>109.24863647891868</v>
      </c>
      <c r="P23" s="44">
        <f t="shared" ca="1" si="13"/>
        <v>99.996611369275811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0.25" customHeight="1">
      <c r="A24" s="31"/>
      <c r="B24" s="32"/>
      <c r="C24" s="32"/>
      <c r="D24" s="33" t="s">
        <v>21</v>
      </c>
      <c r="E24" s="32"/>
      <c r="F24" s="32"/>
      <c r="G24" s="34"/>
      <c r="H24" s="35" t="s">
        <v>12</v>
      </c>
      <c r="I24" s="36"/>
      <c r="J24" s="36"/>
      <c r="K24" s="37"/>
      <c r="L24" s="37">
        <f t="shared" ref="L24:N24" ca="1" si="19">L25+L26</f>
        <v>9979200</v>
      </c>
      <c r="M24" s="37">
        <f t="shared" ca="1" si="19"/>
        <v>9902912.3399999999</v>
      </c>
      <c r="N24" s="37">
        <f t="shared" ca="1" si="19"/>
        <v>10176006.640000001</v>
      </c>
      <c r="O24" s="37">
        <f t="shared" ca="1" si="12"/>
        <v>101.97216851050185</v>
      </c>
      <c r="P24" s="37">
        <f t="shared" ca="1" si="13"/>
        <v>102.757717029332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20.25" hidden="1" customHeight="1">
      <c r="A25" s="38"/>
      <c r="B25" s="39"/>
      <c r="C25" s="39"/>
      <c r="D25" s="39"/>
      <c r="E25" s="40" t="s">
        <v>18</v>
      </c>
      <c r="F25" s="39"/>
      <c r="G25" s="41"/>
      <c r="H25" s="42" t="s">
        <v>12</v>
      </c>
      <c r="I25" s="43"/>
      <c r="J25" s="43"/>
      <c r="K25" s="44"/>
      <c r="L25" s="44">
        <f t="shared" ref="L25:L26" si="20">L48+L60+L73+L95+L126+L139+L156+L188+L172+L268+L284+L305+L322+L335+L352+L396+L409</f>
        <v>0</v>
      </c>
      <c r="M25" s="44">
        <f>M48+M60+M73+M95+M126+M139+M156+M188+M172+M268+M284+M305+M462+M335+M352+M396+M409</f>
        <v>0</v>
      </c>
      <c r="N25" s="44">
        <f>N48+N60+N73+N95+N126+N139+N156+N188+N172+N268+N284+N305+N322+N335+N352+N396+N409</f>
        <v>0</v>
      </c>
      <c r="O25" s="44">
        <f t="shared" si="12"/>
        <v>0</v>
      </c>
      <c r="P25" s="44">
        <f t="shared" si="13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0.25" hidden="1" customHeight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20"/>
        <v>9979200</v>
      </c>
      <c r="M26" s="51">
        <f t="shared" ref="M26:N26" ca="1" si="21">M49+M61+M74+M96+M127+M140+M157+M189+M173+M269+M285+M306+M323+M336+M353+M397+M410</f>
        <v>9902912.3399999999</v>
      </c>
      <c r="N26" s="51">
        <f t="shared" ca="1" si="21"/>
        <v>10176006.640000001</v>
      </c>
      <c r="O26" s="51">
        <f t="shared" ca="1" si="12"/>
        <v>101.97216851050185</v>
      </c>
      <c r="P26" s="51">
        <f t="shared" ca="1" si="13"/>
        <v>102.757717029332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0.25" customHeight="1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20.25" customHeight="1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t="shared" ref="L28:N28" ca="1" si="22">L29+L30</f>
        <v>23254831</v>
      </c>
      <c r="M28" s="21">
        <f t="shared" ca="1" si="22"/>
        <v>20942356.970000003</v>
      </c>
      <c r="N28" s="21">
        <f t="shared" ca="1" si="22"/>
        <v>20942356.973000001</v>
      </c>
      <c r="O28" s="21">
        <f t="shared" ref="O28:O37" ca="1" si="23">IF(L28&gt;0,N28*100/L28,0)</f>
        <v>90.055941378374243</v>
      </c>
      <c r="P28" s="21">
        <f t="shared" ref="P28:P31" ca="1" si="24">IF(M28&gt;0,N28*100/M28,0)</f>
        <v>100.00000001432504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20.25" hidden="1" customHeight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29" si="25">L32+L35</f>
        <v>0</v>
      </c>
      <c r="M29" s="29">
        <f t="shared" si="25"/>
        <v>0</v>
      </c>
      <c r="N29" s="29">
        <f t="shared" si="25"/>
        <v>0</v>
      </c>
      <c r="O29" s="29">
        <f t="shared" si="23"/>
        <v>0</v>
      </c>
      <c r="P29" s="29">
        <f t="shared" si="24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0.25" hidden="1" customHeight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ref="L30:N30" ca="1" si="26">L33+L36</f>
        <v>23254831</v>
      </c>
      <c r="M30" s="29">
        <f t="shared" ca="1" si="26"/>
        <v>20942356.970000003</v>
      </c>
      <c r="N30" s="29">
        <f t="shared" ca="1" si="26"/>
        <v>20942356.973000001</v>
      </c>
      <c r="O30" s="29">
        <f t="shared" ca="1" si="23"/>
        <v>90.055941378374243</v>
      </c>
      <c r="P30" s="29">
        <f t="shared" ca="1" si="24"/>
        <v>100.00000001432504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0.25" customHeight="1">
      <c r="A31" s="31"/>
      <c r="B31" s="32"/>
      <c r="C31" s="32"/>
      <c r="D31" s="33" t="s">
        <v>20</v>
      </c>
      <c r="E31" s="32"/>
      <c r="F31" s="32"/>
      <c r="G31" s="34"/>
      <c r="H31" s="35" t="s">
        <v>12</v>
      </c>
      <c r="I31" s="36"/>
      <c r="J31" s="36"/>
      <c r="K31" s="37"/>
      <c r="L31" s="37">
        <f t="shared" ref="L31:N31" ca="1" si="27">L32+L33</f>
        <v>23254831</v>
      </c>
      <c r="M31" s="37">
        <f t="shared" ca="1" si="27"/>
        <v>20942356.970000003</v>
      </c>
      <c r="N31" s="37">
        <f t="shared" ca="1" si="27"/>
        <v>20942356.973000001</v>
      </c>
      <c r="O31" s="37">
        <f t="shared" ca="1" si="23"/>
        <v>90.055941378374243</v>
      </c>
      <c r="P31" s="37">
        <f t="shared" ca="1" si="24"/>
        <v>100.00000001432504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20.25" hidden="1" customHeight="1">
      <c r="A32" s="38"/>
      <c r="B32" s="39"/>
      <c r="C32" s="39"/>
      <c r="D32" s="39"/>
      <c r="E32" s="40" t="s">
        <v>18</v>
      </c>
      <c r="F32" s="39"/>
      <c r="G32" s="41"/>
      <c r="H32" s="42" t="s">
        <v>12</v>
      </c>
      <c r="I32" s="43"/>
      <c r="J32" s="43"/>
      <c r="K32" s="44"/>
      <c r="L32" s="44">
        <f t="shared" ref="L32:N32" si="28">L423+L448+L471+L506+L527+L548+L633+L659+L689+L741+L758+L774+L790+L809</f>
        <v>0</v>
      </c>
      <c r="M32" s="44">
        <f t="shared" si="28"/>
        <v>0</v>
      </c>
      <c r="N32" s="44">
        <f t="shared" si="28"/>
        <v>0</v>
      </c>
      <c r="O32" s="44">
        <f t="shared" si="23"/>
        <v>0</v>
      </c>
      <c r="P32" s="44">
        <f ca="1">IF(M46&gt;0,N32*100/M46,0)</f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0.25" hidden="1" customHeight="1">
      <c r="A33" s="38"/>
      <c r="B33" s="39"/>
      <c r="C33" s="39"/>
      <c r="D33" s="39"/>
      <c r="E33" s="40" t="s">
        <v>19</v>
      </c>
      <c r="F33" s="39"/>
      <c r="G33" s="41"/>
      <c r="H33" s="42" t="s">
        <v>12</v>
      </c>
      <c r="I33" s="43"/>
      <c r="J33" s="43"/>
      <c r="K33" s="44"/>
      <c r="L33" s="44">
        <f t="shared" ref="L33:N33" ca="1" si="29">L424+L449+L472+L507+L528+L549+L634+L660+L690+L742+L759+L775+L791+L810</f>
        <v>23254831</v>
      </c>
      <c r="M33" s="44">
        <f t="shared" ca="1" si="29"/>
        <v>20942356.970000003</v>
      </c>
      <c r="N33" s="44">
        <f t="shared" ca="1" si="29"/>
        <v>20942356.973000001</v>
      </c>
      <c r="O33" s="44">
        <f t="shared" ca="1" si="23"/>
        <v>90.055941378374243</v>
      </c>
      <c r="P33" s="44">
        <f t="shared" ref="P33:P37" ca="1" si="30">IF(M33&gt;0,N33*100/M33,0)</f>
        <v>100.00000001432504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0.25" customHeight="1">
      <c r="A34" s="31"/>
      <c r="B34" s="32"/>
      <c r="C34" s="32"/>
      <c r="D34" s="33" t="s">
        <v>21</v>
      </c>
      <c r="E34" s="32"/>
      <c r="F34" s="32"/>
      <c r="G34" s="34"/>
      <c r="H34" s="35" t="s">
        <v>12</v>
      </c>
      <c r="I34" s="36"/>
      <c r="J34" s="36"/>
      <c r="K34" s="37"/>
      <c r="L34" s="37">
        <f t="shared" ref="L34:N34" ca="1" si="31">L35+L36</f>
        <v>0</v>
      </c>
      <c r="M34" s="37">
        <f t="shared" si="31"/>
        <v>0</v>
      </c>
      <c r="N34" s="37">
        <f t="shared" si="31"/>
        <v>0</v>
      </c>
      <c r="O34" s="37">
        <f t="shared" ca="1" si="23"/>
        <v>0</v>
      </c>
      <c r="P34" s="37">
        <f t="shared" si="30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20.25" hidden="1" customHeight="1">
      <c r="A35" s="38"/>
      <c r="B35" s="39"/>
      <c r="C35" s="39"/>
      <c r="D35" s="39"/>
      <c r="E35" s="40" t="s">
        <v>18</v>
      </c>
      <c r="F35" s="39"/>
      <c r="G35" s="41"/>
      <c r="H35" s="42" t="s">
        <v>12</v>
      </c>
      <c r="I35" s="43"/>
      <c r="J35" s="43"/>
      <c r="K35" s="44"/>
      <c r="L35" s="44">
        <f t="shared" ref="L35:N35" si="32">L430+L455+L478+L513+L534+L556+L640+L666+L696+L748+L765+L781+L797+L816</f>
        <v>0</v>
      </c>
      <c r="M35" s="44">
        <f t="shared" si="32"/>
        <v>0</v>
      </c>
      <c r="N35" s="44">
        <f t="shared" si="32"/>
        <v>0</v>
      </c>
      <c r="O35" s="44">
        <f t="shared" si="23"/>
        <v>0</v>
      </c>
      <c r="P35" s="44">
        <f t="shared" si="30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0.25" hidden="1" customHeight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ref="L36:N36" ca="1" si="33">L431+L456+L479+L514+L535+L557+L641+L667+L697+L749+L766+L782+L798+L817</f>
        <v>0</v>
      </c>
      <c r="M36" s="51">
        <f t="shared" si="33"/>
        <v>0</v>
      </c>
      <c r="N36" s="51">
        <f t="shared" si="33"/>
        <v>0</v>
      </c>
      <c r="O36" s="51">
        <f t="shared" ca="1" si="23"/>
        <v>0</v>
      </c>
      <c r="P36" s="51">
        <f t="shared" si="30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0.25" customHeight="1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69710033</v>
      </c>
      <c r="M37" s="58">
        <f ca="1">M41+M53+M66+M88+M119+M132+M149+M165+M181+M261+M277+M298+M315+M468+M345+M389+M402</f>
        <v>67397944.279999897</v>
      </c>
      <c r="N37" s="58">
        <f ca="1">N41+N53+N66+N88+N119+N132+N149+N165+N181+N261+N277+N298+N315+N328+N345+N389+N402</f>
        <v>75431127.25</v>
      </c>
      <c r="O37" s="58">
        <f t="shared" ca="1" si="23"/>
        <v>108.20698829679223</v>
      </c>
      <c r="P37" s="58">
        <f t="shared" ca="1" si="30"/>
        <v>111.91903262898765</v>
      </c>
    </row>
    <row r="38" spans="1:26" ht="20.25" customHeight="1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20.25" customHeight="1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20.25" customHeight="1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20.25" customHeight="1">
      <c r="A41" s="76"/>
      <c r="B41" s="77"/>
      <c r="C41" s="78" t="s">
        <v>16</v>
      </c>
      <c r="D41" s="7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t="shared" ref="L41:N41" ca="1" si="34">L42+L43</f>
        <v>8286238</v>
      </c>
      <c r="M41" s="84">
        <f t="shared" ca="1" si="34"/>
        <v>10040266.439999999</v>
      </c>
      <c r="N41" s="84">
        <f t="shared" ca="1" si="34"/>
        <v>10040266.439999999</v>
      </c>
      <c r="O41" s="84">
        <f t="shared" ref="O41:O45" ca="1" si="35">IF(L41&gt;0,N41*100/L41,0)</f>
        <v>121.16797079688033</v>
      </c>
      <c r="P41" s="84">
        <f t="shared" ref="P41:P49" ca="1" si="3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0.25" hidden="1" customHeight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2" si="37">L45+L48</f>
        <v>0</v>
      </c>
      <c r="M42" s="91">
        <f t="shared" si="37"/>
        <v>0</v>
      </c>
      <c r="N42" s="91">
        <f t="shared" si="37"/>
        <v>0</v>
      </c>
      <c r="O42" s="91">
        <f t="shared" si="35"/>
        <v>0</v>
      </c>
      <c r="P42" s="91">
        <f t="shared" si="3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0.25" hidden="1" customHeight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ref="L43:N43" ca="1" si="38">L46+L49</f>
        <v>8286238</v>
      </c>
      <c r="M43" s="91">
        <f t="shared" ca="1" si="38"/>
        <v>10040266.439999999</v>
      </c>
      <c r="N43" s="91">
        <f t="shared" ca="1" si="38"/>
        <v>10040266.439999999</v>
      </c>
      <c r="O43" s="91">
        <f t="shared" ca="1" si="35"/>
        <v>121.16797079688033</v>
      </c>
      <c r="P43" s="91">
        <f t="shared" ca="1" si="3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0.25" customHeight="1">
      <c r="A44" s="31"/>
      <c r="B44" s="32"/>
      <c r="C44" s="32"/>
      <c r="D44" s="33" t="s">
        <v>20</v>
      </c>
      <c r="E44" s="32"/>
      <c r="F44" s="32"/>
      <c r="G44" s="34"/>
      <c r="H44" s="35" t="s">
        <v>12</v>
      </c>
      <c r="I44" s="36"/>
      <c r="J44" s="36"/>
      <c r="K44" s="37"/>
      <c r="L44" s="37">
        <f t="shared" ref="L44:N44" ca="1" si="39">L45+L46</f>
        <v>8286238</v>
      </c>
      <c r="M44" s="37">
        <f t="shared" ca="1" si="39"/>
        <v>10040266.439999999</v>
      </c>
      <c r="N44" s="37">
        <f t="shared" ca="1" si="39"/>
        <v>10040266.439999999</v>
      </c>
      <c r="O44" s="37">
        <f t="shared" ca="1" si="35"/>
        <v>121.16797079688033</v>
      </c>
      <c r="P44" s="37">
        <f t="shared" ca="1" si="3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20.25" hidden="1" customHeight="1">
      <c r="A45" s="38"/>
      <c r="B45" s="39"/>
      <c r="C45" s="39"/>
      <c r="D45" s="39"/>
      <c r="E45" s="40" t="s">
        <v>18</v>
      </c>
      <c r="F45" s="39"/>
      <c r="G45" s="41"/>
      <c r="H45" s="42" t="s">
        <v>12</v>
      </c>
      <c r="I45" s="43"/>
      <c r="J45" s="43"/>
      <c r="K45" s="44"/>
      <c r="L45" s="92">
        <v>0</v>
      </c>
      <c r="M45" s="92">
        <v>0</v>
      </c>
      <c r="N45" s="92">
        <v>0</v>
      </c>
      <c r="O45" s="44">
        <f t="shared" si="35"/>
        <v>0</v>
      </c>
      <c r="P45" s="44">
        <f t="shared" si="3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0.25" hidden="1" customHeight="1">
      <c r="A46" s="38"/>
      <c r="B46" s="39"/>
      <c r="C46" s="39"/>
      <c r="D46" s="39"/>
      <c r="E46" s="40" t="s">
        <v>19</v>
      </c>
      <c r="F46" s="39"/>
      <c r="G46" s="41"/>
      <c r="H46" s="42" t="s">
        <v>12</v>
      </c>
      <c r="I46" s="43"/>
      <c r="J46" s="43"/>
      <c r="K46" s="44"/>
      <c r="L46" s="44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4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"),10040266.44)</f>
        <v>10040266.439999999</v>
      </c>
      <c r="N46" s="44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"),10040266.44)</f>
        <v>10040266.439999999</v>
      </c>
      <c r="O46" s="44">
        <f ca="1">IF(M46&gt;0,N46*100/M46,0)</f>
        <v>100</v>
      </c>
      <c r="P46" s="44">
        <f t="shared" ca="1" si="3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0.25" customHeight="1">
      <c r="A47" s="31"/>
      <c r="B47" s="32"/>
      <c r="C47" s="32"/>
      <c r="D47" s="33" t="s">
        <v>21</v>
      </c>
      <c r="E47" s="32"/>
      <c r="F47" s="32"/>
      <c r="G47" s="34"/>
      <c r="H47" s="35" t="s">
        <v>12</v>
      </c>
      <c r="I47" s="36"/>
      <c r="J47" s="36"/>
      <c r="K47" s="37"/>
      <c r="L47" s="37">
        <f t="shared" ref="L47:N47" ca="1" si="40">L48+L49</f>
        <v>0</v>
      </c>
      <c r="M47" s="37">
        <f t="shared" ca="1" si="40"/>
        <v>0</v>
      </c>
      <c r="N47" s="37">
        <f t="shared" ca="1" si="40"/>
        <v>0</v>
      </c>
      <c r="O47" s="37">
        <f t="shared" ref="O47:O49" ca="1" si="41">IF(L47&gt;0,N47*100/L47,0)</f>
        <v>0</v>
      </c>
      <c r="P47" s="37">
        <f t="shared" ca="1" si="3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20.25" hidden="1" customHeight="1">
      <c r="A48" s="38"/>
      <c r="B48" s="39"/>
      <c r="C48" s="39"/>
      <c r="D48" s="39"/>
      <c r="E48" s="40" t="s">
        <v>18</v>
      </c>
      <c r="F48" s="39"/>
      <c r="G48" s="41"/>
      <c r="H48" s="42" t="s">
        <v>12</v>
      </c>
      <c r="I48" s="43"/>
      <c r="J48" s="43"/>
      <c r="K48" s="44"/>
      <c r="L48" s="92">
        <v>0</v>
      </c>
      <c r="M48" s="92">
        <v>0</v>
      </c>
      <c r="N48" s="92">
        <v>0</v>
      </c>
      <c r="O48" s="44">
        <f t="shared" si="41"/>
        <v>0</v>
      </c>
      <c r="P48" s="44">
        <f t="shared" si="3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0.25" hidden="1" customHeight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1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1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1">
        <f t="shared" ca="1" si="41"/>
        <v>0</v>
      </c>
      <c r="P49" s="51">
        <f t="shared" ca="1" si="3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0.25" customHeight="1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20.25" customHeight="1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20.25" customHeight="1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20.25" customHeight="1">
      <c r="A53" s="107"/>
      <c r="B53" s="108"/>
      <c r="C53" s="109" t="s">
        <v>16</v>
      </c>
      <c r="D53" s="110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42">L54+L55</f>
        <v>19569900</v>
      </c>
      <c r="M53" s="115">
        <f t="shared" ca="1" si="42"/>
        <v>20835574.839999899</v>
      </c>
      <c r="N53" s="115">
        <f t="shared" ca="1" si="42"/>
        <v>21106470.859999999</v>
      </c>
      <c r="O53" s="115">
        <f t="shared" ref="O53:O61" ca="1" si="43">IF(L53&gt;0,N53*100/L53,0)</f>
        <v>107.85170522077271</v>
      </c>
      <c r="P53" s="115">
        <f t="shared" ref="P53:P61" ca="1" si="44">IF(M53&gt;0,N53*100/M53,0)</f>
        <v>101.30016100866119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20.25" hidden="1" customHeight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4" si="45">L57+L60</f>
        <v>0</v>
      </c>
      <c r="M54" s="122">
        <f t="shared" si="45"/>
        <v>0</v>
      </c>
      <c r="N54" s="122">
        <f t="shared" si="45"/>
        <v>0</v>
      </c>
      <c r="O54" s="122">
        <f t="shared" si="43"/>
        <v>0</v>
      </c>
      <c r="P54" s="122">
        <f t="shared" si="44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0.25" hidden="1" customHeight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ref="L55:N55" ca="1" si="46">L58+L61</f>
        <v>19569900</v>
      </c>
      <c r="M55" s="122">
        <f t="shared" ca="1" si="46"/>
        <v>20835574.839999899</v>
      </c>
      <c r="N55" s="122">
        <f t="shared" ca="1" si="46"/>
        <v>21106470.859999999</v>
      </c>
      <c r="O55" s="122">
        <f t="shared" ca="1" si="43"/>
        <v>107.85170522077271</v>
      </c>
      <c r="P55" s="122">
        <f t="shared" ca="1" si="44"/>
        <v>101.30016100866119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0.25" customHeight="1">
      <c r="A56" s="31"/>
      <c r="B56" s="32"/>
      <c r="C56" s="32"/>
      <c r="D56" s="33" t="s">
        <v>20</v>
      </c>
      <c r="E56" s="32"/>
      <c r="F56" s="32"/>
      <c r="G56" s="34"/>
      <c r="H56" s="35" t="s">
        <v>12</v>
      </c>
      <c r="I56" s="36"/>
      <c r="J56" s="36"/>
      <c r="K56" s="37"/>
      <c r="L56" s="37">
        <f t="shared" ref="L56:N56" ca="1" si="47">L57+L58</f>
        <v>14110200</v>
      </c>
      <c r="M56" s="37">
        <f t="shared" ca="1" si="47"/>
        <v>15412902.499999899</v>
      </c>
      <c r="N56" s="37">
        <f t="shared" ca="1" si="47"/>
        <v>15410704.220000001</v>
      </c>
      <c r="O56" s="37">
        <f t="shared" ca="1" si="43"/>
        <v>109.21676673611996</v>
      </c>
      <c r="P56" s="37">
        <f t="shared" ca="1" si="44"/>
        <v>99.985737404100888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20.25" hidden="1" customHeight="1">
      <c r="A57" s="38"/>
      <c r="B57" s="39"/>
      <c r="C57" s="39"/>
      <c r="D57" s="39"/>
      <c r="E57" s="40" t="s">
        <v>18</v>
      </c>
      <c r="F57" s="39"/>
      <c r="G57" s="41"/>
      <c r="H57" s="42" t="s">
        <v>12</v>
      </c>
      <c r="I57" s="43"/>
      <c r="J57" s="43"/>
      <c r="K57" s="44"/>
      <c r="L57" s="92">
        <v>0</v>
      </c>
      <c r="M57" s="92">
        <v>0</v>
      </c>
      <c r="N57" s="92">
        <v>0</v>
      </c>
      <c r="O57" s="44">
        <f t="shared" si="43"/>
        <v>0</v>
      </c>
      <c r="P57" s="44">
        <f t="shared" si="44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0.25" hidden="1" customHeight="1">
      <c r="A58" s="38"/>
      <c r="B58" s="39"/>
      <c r="C58" s="39"/>
      <c r="D58" s="39"/>
      <c r="E58" s="40" t="s">
        <v>19</v>
      </c>
      <c r="F58" s="39"/>
      <c r="G58" s="41"/>
      <c r="H58" s="42" t="s">
        <v>12</v>
      </c>
      <c r="I58" s="43"/>
      <c r="J58" s="43"/>
      <c r="K58" s="44"/>
      <c r="L58" s="44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4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"),15412902.4999999)</f>
        <v>15412902.499999899</v>
      </c>
      <c r="N58" s="44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"),15410704.22)</f>
        <v>15410704.220000001</v>
      </c>
      <c r="O58" s="44">
        <f t="shared" ca="1" si="43"/>
        <v>109.21676673611996</v>
      </c>
      <c r="P58" s="44">
        <f t="shared" ca="1" si="44"/>
        <v>99.985737404100888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0.25" customHeight="1">
      <c r="A59" s="31"/>
      <c r="B59" s="32"/>
      <c r="C59" s="32"/>
      <c r="D59" s="33" t="s">
        <v>21</v>
      </c>
      <c r="E59" s="32"/>
      <c r="F59" s="32"/>
      <c r="G59" s="34"/>
      <c r="H59" s="35" t="s">
        <v>12</v>
      </c>
      <c r="I59" s="36"/>
      <c r="J59" s="36"/>
      <c r="K59" s="37"/>
      <c r="L59" s="37">
        <f t="shared" ref="L59:N59" ca="1" si="48">L60+L61</f>
        <v>5459700</v>
      </c>
      <c r="M59" s="37">
        <f t="shared" ca="1" si="48"/>
        <v>5422672.3399999999</v>
      </c>
      <c r="N59" s="37">
        <f t="shared" ca="1" si="48"/>
        <v>5695766.6399999997</v>
      </c>
      <c r="O59" s="37">
        <f t="shared" ca="1" si="43"/>
        <v>104.32380240672565</v>
      </c>
      <c r="P59" s="37">
        <f t="shared" ca="1" si="44"/>
        <v>105.0361571357638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20.25" hidden="1" customHeight="1">
      <c r="A60" s="38"/>
      <c r="B60" s="39"/>
      <c r="C60" s="39"/>
      <c r="D60" s="39"/>
      <c r="E60" s="40" t="s">
        <v>18</v>
      </c>
      <c r="F60" s="39"/>
      <c r="G60" s="41"/>
      <c r="H60" s="42" t="s">
        <v>12</v>
      </c>
      <c r="I60" s="43"/>
      <c r="J60" s="43"/>
      <c r="K60" s="44"/>
      <c r="L60" s="92">
        <v>0</v>
      </c>
      <c r="M60" s="92">
        <v>0</v>
      </c>
      <c r="N60" s="92">
        <v>0</v>
      </c>
      <c r="O60" s="44">
        <f t="shared" si="43"/>
        <v>0</v>
      </c>
      <c r="P60" s="44">
        <f t="shared" si="44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0.25" hidden="1" customHeight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1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"),5422672.34)</f>
        <v>5422672.3399999999</v>
      </c>
      <c r="N61" s="51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"),5695766.64)</f>
        <v>5695766.6399999997</v>
      </c>
      <c r="O61" s="51">
        <f t="shared" ca="1" si="43"/>
        <v>104.32380240672565</v>
      </c>
      <c r="P61" s="51">
        <f t="shared" ca="1" si="44"/>
        <v>105.0361571357638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0.25" customHeight="1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20.25" customHeight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20.25" customHeight="1">
      <c r="A64" s="137"/>
      <c r="B64" s="138" t="s">
        <v>33</v>
      </c>
      <c r="C64" s="139"/>
      <c r="D64" s="140"/>
      <c r="E64" s="139"/>
      <c r="F64" s="139"/>
      <c r="G64" s="141"/>
      <c r="H64" s="142" t="s">
        <v>34</v>
      </c>
      <c r="I64" s="143">
        <f t="shared" ref="I64:J64" ca="1" si="49">I76</f>
        <v>8</v>
      </c>
      <c r="J64" s="143">
        <f t="shared" ca="1" si="49"/>
        <v>8</v>
      </c>
      <c r="K64" s="144">
        <f t="shared" ref="K64:K65" ca="1" si="50">IF(I64&gt;0,J64*100/I64,0)</f>
        <v>100</v>
      </c>
      <c r="L64" s="145"/>
      <c r="M64" s="145"/>
      <c r="N64" s="145"/>
      <c r="O64" s="145"/>
      <c r="P64" s="145"/>
    </row>
    <row r="65" spans="1:26" ht="20.25" customHeight="1">
      <c r="A65" s="137"/>
      <c r="B65" s="139"/>
      <c r="C65" s="139"/>
      <c r="D65" s="140"/>
      <c r="E65" s="139"/>
      <c r="F65" s="139"/>
      <c r="G65" s="141"/>
      <c r="H65" s="142" t="s">
        <v>35</v>
      </c>
      <c r="I65" s="143">
        <f t="shared" ref="I65:J65" ca="1" si="51">I77</f>
        <v>450</v>
      </c>
      <c r="J65" s="143">
        <f t="shared" ca="1" si="51"/>
        <v>450</v>
      </c>
      <c r="K65" s="144">
        <f t="shared" ca="1" si="50"/>
        <v>100</v>
      </c>
      <c r="L65" s="145"/>
      <c r="M65" s="145"/>
      <c r="N65" s="145"/>
      <c r="O65" s="145"/>
      <c r="P65" s="145"/>
    </row>
    <row r="66" spans="1:26" ht="20.25" customHeight="1">
      <c r="A66" s="146"/>
      <c r="B66" s="147"/>
      <c r="C66" s="148" t="s">
        <v>16</v>
      </c>
      <c r="D66" s="149" t="s">
        <v>17</v>
      </c>
      <c r="E66" s="147"/>
      <c r="F66" s="147"/>
      <c r="G66" s="150"/>
      <c r="H66" s="151" t="s">
        <v>12</v>
      </c>
      <c r="I66" s="152"/>
      <c r="J66" s="152"/>
      <c r="K66" s="153"/>
      <c r="L66" s="154">
        <f t="shared" ref="L66:N66" ca="1" si="52">L67+L68</f>
        <v>5761100</v>
      </c>
      <c r="M66" s="154">
        <f t="shared" ca="1" si="52"/>
        <v>5805940</v>
      </c>
      <c r="N66" s="154">
        <f t="shared" ca="1" si="52"/>
        <v>5805940</v>
      </c>
      <c r="O66" s="154">
        <f t="shared" ref="O66:O74" ca="1" si="53">IF(L66&gt;0,N66*100/L66,0)</f>
        <v>100.77832358403776</v>
      </c>
      <c r="P66" s="154">
        <f t="shared" ref="P66:P74" ca="1" si="54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20.25" hidden="1" customHeight="1">
      <c r="A67" s="155"/>
      <c r="B67" s="39"/>
      <c r="C67" s="39"/>
      <c r="D67" s="39"/>
      <c r="E67" s="40" t="s">
        <v>18</v>
      </c>
      <c r="F67" s="39"/>
      <c r="G67" s="156"/>
      <c r="H67" s="157" t="s">
        <v>12</v>
      </c>
      <c r="I67" s="43"/>
      <c r="J67" s="43"/>
      <c r="K67" s="44"/>
      <c r="L67" s="44">
        <f t="shared" ref="L67:N67" si="55">L70+L73</f>
        <v>0</v>
      </c>
      <c r="M67" s="44">
        <f t="shared" si="55"/>
        <v>0</v>
      </c>
      <c r="N67" s="44">
        <f t="shared" si="55"/>
        <v>0</v>
      </c>
      <c r="O67" s="44">
        <f t="shared" si="53"/>
        <v>0</v>
      </c>
      <c r="P67" s="44">
        <f t="shared" si="54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0.25" hidden="1" customHeight="1">
      <c r="A68" s="155"/>
      <c r="B68" s="39"/>
      <c r="C68" s="39"/>
      <c r="D68" s="39"/>
      <c r="E68" s="40" t="s">
        <v>19</v>
      </c>
      <c r="F68" s="39"/>
      <c r="G68" s="156"/>
      <c r="H68" s="157" t="s">
        <v>12</v>
      </c>
      <c r="I68" s="43"/>
      <c r="J68" s="43"/>
      <c r="K68" s="44"/>
      <c r="L68" s="44">
        <f t="shared" ref="L68:N68" ca="1" si="56">L71+L74</f>
        <v>5761100</v>
      </c>
      <c r="M68" s="44">
        <f t="shared" ca="1" si="56"/>
        <v>5805940</v>
      </c>
      <c r="N68" s="44">
        <f t="shared" ca="1" si="56"/>
        <v>5805940</v>
      </c>
      <c r="O68" s="44">
        <f t="shared" ca="1" si="53"/>
        <v>100.77832358403776</v>
      </c>
      <c r="P68" s="44">
        <f t="shared" ca="1" si="54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0.25" customHeight="1">
      <c r="A69" s="158"/>
      <c r="B69" s="32"/>
      <c r="C69" s="159"/>
      <c r="D69" s="33" t="s">
        <v>20</v>
      </c>
      <c r="E69" s="32"/>
      <c r="F69" s="32"/>
      <c r="G69" s="34"/>
      <c r="H69" s="160" t="s">
        <v>12</v>
      </c>
      <c r="I69" s="161"/>
      <c r="J69" s="161"/>
      <c r="K69" s="162"/>
      <c r="L69" s="37">
        <f t="shared" ref="L69:N69" ca="1" si="57">L70+L71</f>
        <v>5761100</v>
      </c>
      <c r="M69" s="37">
        <f t="shared" ca="1" si="57"/>
        <v>5805940</v>
      </c>
      <c r="N69" s="37">
        <f t="shared" ca="1" si="57"/>
        <v>5805940</v>
      </c>
      <c r="O69" s="37">
        <f t="shared" ca="1" si="53"/>
        <v>100.77832358403776</v>
      </c>
      <c r="P69" s="37">
        <f t="shared" ca="1" si="54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20.25" hidden="1" customHeight="1">
      <c r="A70" s="155"/>
      <c r="B70" s="39"/>
      <c r="C70" s="163"/>
      <c r="D70" s="39"/>
      <c r="E70" s="40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44">
        <f t="shared" si="53"/>
        <v>0</v>
      </c>
      <c r="P70" s="44">
        <f t="shared" si="54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0.25" hidden="1" customHeight="1">
      <c r="A71" s="155"/>
      <c r="B71" s="39"/>
      <c r="C71" s="163"/>
      <c r="D71" s="39"/>
      <c r="E71" s="40" t="s">
        <v>37</v>
      </c>
      <c r="F71" s="39"/>
      <c r="G71" s="156"/>
      <c r="H71" s="164" t="s">
        <v>12</v>
      </c>
      <c r="I71" s="165"/>
      <c r="J71" s="165"/>
      <c r="K71" s="166"/>
      <c r="L71" s="44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4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"),5805940)</f>
        <v>5805940</v>
      </c>
      <c r="N71" s="44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"),5805940)</f>
        <v>5805940</v>
      </c>
      <c r="O71" s="44">
        <f t="shared" ca="1" si="53"/>
        <v>100.77832358403776</v>
      </c>
      <c r="P71" s="44">
        <f t="shared" ca="1" si="54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0.25" customHeight="1">
      <c r="A72" s="158"/>
      <c r="B72" s="32"/>
      <c r="C72" s="159"/>
      <c r="D72" s="33" t="s">
        <v>21</v>
      </c>
      <c r="E72" s="32"/>
      <c r="F72" s="32"/>
      <c r="G72" s="34"/>
      <c r="H72" s="167" t="s">
        <v>12</v>
      </c>
      <c r="I72" s="161"/>
      <c r="J72" s="161"/>
      <c r="K72" s="162"/>
      <c r="L72" s="37">
        <f t="shared" ref="L72:N72" ca="1" si="58">L73+L74</f>
        <v>0</v>
      </c>
      <c r="M72" s="37">
        <f t="shared" ca="1" si="58"/>
        <v>0</v>
      </c>
      <c r="N72" s="37">
        <f t="shared" ca="1" si="58"/>
        <v>0</v>
      </c>
      <c r="O72" s="37">
        <f t="shared" ca="1" si="53"/>
        <v>0</v>
      </c>
      <c r="P72" s="37">
        <f t="shared" ca="1" si="54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20.25" hidden="1" customHeight="1">
      <c r="A73" s="155"/>
      <c r="B73" s="39"/>
      <c r="C73" s="163"/>
      <c r="D73" s="39"/>
      <c r="E73" s="40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44"/>
      <c r="N73" s="44"/>
      <c r="O73" s="44">
        <f t="shared" si="53"/>
        <v>0</v>
      </c>
      <c r="P73" s="44">
        <f t="shared" si="54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0.25" hidden="1" customHeight="1">
      <c r="A74" s="155"/>
      <c r="B74" s="39"/>
      <c r="C74" s="163"/>
      <c r="D74" s="39"/>
      <c r="E74" s="40" t="s">
        <v>19</v>
      </c>
      <c r="F74" s="39"/>
      <c r="G74" s="156"/>
      <c r="H74" s="168" t="s">
        <v>12</v>
      </c>
      <c r="I74" s="165"/>
      <c r="J74" s="165"/>
      <c r="K74" s="166"/>
      <c r="L74" s="44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4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4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4">
        <f t="shared" ca="1" si="53"/>
        <v>0</v>
      </c>
      <c r="P74" s="44">
        <f t="shared" ca="1" si="54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0.25" customHeight="1">
      <c r="A75" s="169"/>
      <c r="B75" s="170"/>
      <c r="C75" s="163" t="s">
        <v>16</v>
      </c>
      <c r="D75" s="171" t="s">
        <v>38</v>
      </c>
      <c r="E75" s="172"/>
      <c r="F75" s="172"/>
      <c r="G75" s="173"/>
      <c r="H75" s="174"/>
      <c r="I75" s="161"/>
      <c r="J75" s="161"/>
      <c r="K75" s="162"/>
      <c r="L75" s="162"/>
      <c r="M75" s="162"/>
      <c r="N75" s="162"/>
      <c r="O75" s="162"/>
      <c r="P75" s="162"/>
    </row>
    <row r="76" spans="1:26" ht="20.25" customHeight="1">
      <c r="A76" s="169"/>
      <c r="B76" s="170"/>
      <c r="C76" s="170"/>
      <c r="D76" s="175" t="s">
        <v>39</v>
      </c>
      <c r="E76" s="176"/>
      <c r="F76" s="177"/>
      <c r="G76" s="178"/>
      <c r="H76" s="179" t="s">
        <v>34</v>
      </c>
      <c r="I76" s="36">
        <f t="shared" ref="I76:J76" ca="1" si="59">I78+I80+I82</f>
        <v>8</v>
      </c>
      <c r="J76" s="36">
        <f t="shared" ca="1" si="59"/>
        <v>8</v>
      </c>
      <c r="K76" s="162">
        <f t="shared" ref="K76:K84" ca="1" si="60">IF(I76&gt;0,J76*100/I76,0)</f>
        <v>100</v>
      </c>
      <c r="L76" s="162"/>
      <c r="M76" s="162"/>
      <c r="N76" s="162"/>
      <c r="O76" s="162"/>
      <c r="P76" s="162"/>
    </row>
    <row r="77" spans="1:26" ht="20.25" customHeight="1">
      <c r="A77" s="169"/>
      <c r="B77" s="170"/>
      <c r="C77" s="170"/>
      <c r="D77" s="170"/>
      <c r="E77" s="177"/>
      <c r="F77" s="177"/>
      <c r="G77" s="178"/>
      <c r="H77" s="179" t="s">
        <v>35</v>
      </c>
      <c r="I77" s="36">
        <f t="shared" ref="I77:J77" ca="1" si="61">I79+I81+I83</f>
        <v>450</v>
      </c>
      <c r="J77" s="36">
        <f t="shared" ca="1" si="61"/>
        <v>450</v>
      </c>
      <c r="K77" s="162">
        <f t="shared" ca="1" si="60"/>
        <v>100</v>
      </c>
      <c r="L77" s="162"/>
      <c r="M77" s="162"/>
      <c r="N77" s="162"/>
      <c r="O77" s="162"/>
      <c r="P77" s="162"/>
    </row>
    <row r="78" spans="1:26" ht="20.25" customHeight="1">
      <c r="A78" s="169"/>
      <c r="B78" s="170"/>
      <c r="C78" s="170"/>
      <c r="D78" s="170"/>
      <c r="E78" s="180" t="s">
        <v>40</v>
      </c>
      <c r="F78" s="176"/>
      <c r="G78" s="178"/>
      <c r="H78" s="181" t="s">
        <v>34</v>
      </c>
      <c r="I78" s="161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2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2">
        <f t="shared" ca="1" si="60"/>
        <v>100</v>
      </c>
      <c r="L78" s="162"/>
      <c r="M78" s="162"/>
      <c r="N78" s="162"/>
      <c r="O78" s="162"/>
      <c r="P78" s="162"/>
    </row>
    <row r="79" spans="1:26" ht="20.25" customHeight="1">
      <c r="A79" s="169"/>
      <c r="B79" s="170"/>
      <c r="C79" s="170"/>
      <c r="D79" s="170"/>
      <c r="E79" s="177"/>
      <c r="F79" s="177"/>
      <c r="G79" s="178"/>
      <c r="H79" s="181" t="s">
        <v>35</v>
      </c>
      <c r="I79" s="161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2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2">
        <f t="shared" ca="1" si="60"/>
        <v>100</v>
      </c>
      <c r="L79" s="162"/>
      <c r="M79" s="162"/>
      <c r="N79" s="162"/>
      <c r="O79" s="162"/>
      <c r="P79" s="162"/>
    </row>
    <row r="80" spans="1:26" ht="20.25" customHeight="1">
      <c r="A80" s="169"/>
      <c r="B80" s="170"/>
      <c r="C80" s="170"/>
      <c r="D80" s="170"/>
      <c r="E80" s="180" t="s">
        <v>41</v>
      </c>
      <c r="F80" s="176"/>
      <c r="G80" s="178"/>
      <c r="H80" s="181" t="s">
        <v>34</v>
      </c>
      <c r="I80" s="161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2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2">
        <f t="shared" ca="1" si="60"/>
        <v>100</v>
      </c>
      <c r="L80" s="162"/>
      <c r="M80" s="162"/>
      <c r="N80" s="162"/>
      <c r="O80" s="162"/>
      <c r="P80" s="162"/>
    </row>
    <row r="81" spans="1:26" ht="20.25" customHeight="1">
      <c r="A81" s="169"/>
      <c r="B81" s="170"/>
      <c r="C81" s="170"/>
      <c r="D81" s="170"/>
      <c r="E81" s="177"/>
      <c r="F81" s="177"/>
      <c r="G81" s="178"/>
      <c r="H81" s="181" t="s">
        <v>35</v>
      </c>
      <c r="I81" s="161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2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2">
        <f t="shared" ca="1" si="60"/>
        <v>100</v>
      </c>
      <c r="L81" s="162"/>
      <c r="M81" s="162"/>
      <c r="N81" s="162"/>
      <c r="O81" s="162"/>
      <c r="P81" s="162"/>
    </row>
    <row r="82" spans="1:26" ht="20.25" customHeight="1">
      <c r="A82" s="169"/>
      <c r="B82" s="170"/>
      <c r="C82" s="170"/>
      <c r="D82" s="170"/>
      <c r="E82" s="180" t="s">
        <v>42</v>
      </c>
      <c r="F82" s="176"/>
      <c r="G82" s="178"/>
      <c r="H82" s="181" t="s">
        <v>34</v>
      </c>
      <c r="I82" s="183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2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2">
        <f t="shared" ca="1" si="60"/>
        <v>100</v>
      </c>
      <c r="L82" s="162"/>
      <c r="M82" s="162"/>
      <c r="N82" s="162"/>
      <c r="O82" s="162"/>
      <c r="P82" s="162"/>
    </row>
    <row r="83" spans="1:26" ht="20.25" customHeight="1">
      <c r="A83" s="169"/>
      <c r="B83" s="170"/>
      <c r="C83" s="170"/>
      <c r="D83" s="170"/>
      <c r="E83" s="177"/>
      <c r="F83" s="177"/>
      <c r="G83" s="178"/>
      <c r="H83" s="181" t="s">
        <v>35</v>
      </c>
      <c r="I83" s="161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2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2">
        <f t="shared" ca="1" si="60"/>
        <v>100</v>
      </c>
      <c r="L83" s="162"/>
      <c r="M83" s="162"/>
      <c r="N83" s="162"/>
      <c r="O83" s="162"/>
      <c r="P83" s="162"/>
    </row>
    <row r="84" spans="1:26" ht="20.25" customHeight="1">
      <c r="A84" s="169"/>
      <c r="B84" s="170"/>
      <c r="C84" s="170"/>
      <c r="D84" s="175" t="s">
        <v>43</v>
      </c>
      <c r="E84" s="176"/>
      <c r="F84" s="177"/>
      <c r="G84" s="178"/>
      <c r="H84" s="184" t="s">
        <v>34</v>
      </c>
      <c r="I84" s="161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2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"),8)</f>
        <v>8</v>
      </c>
      <c r="K84" s="162">
        <f t="shared" ca="1" si="60"/>
        <v>100</v>
      </c>
      <c r="L84" s="162"/>
      <c r="M84" s="162"/>
      <c r="N84" s="162"/>
      <c r="O84" s="162"/>
      <c r="P84" s="162"/>
    </row>
    <row r="85" spans="1:26" ht="20.25" customHeight="1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20.25" customHeight="1">
      <c r="A86" s="137"/>
      <c r="B86" s="138" t="s">
        <v>45</v>
      </c>
      <c r="C86" s="139"/>
      <c r="D86" s="140"/>
      <c r="E86" s="139"/>
      <c r="F86" s="139"/>
      <c r="G86" s="141"/>
      <c r="H86" s="142" t="s">
        <v>46</v>
      </c>
      <c r="I86" s="143">
        <f t="shared" ref="I86:J86" ca="1" si="62">I98</f>
        <v>645</v>
      </c>
      <c r="J86" s="143">
        <f t="shared" ca="1" si="62"/>
        <v>645</v>
      </c>
      <c r="K86" s="144">
        <f t="shared" ref="K86:K87" ca="1" si="63">IF(I86&gt;0,J86*100/I86,0)</f>
        <v>100</v>
      </c>
      <c r="L86" s="145"/>
      <c r="M86" s="145"/>
      <c r="N86" s="145"/>
      <c r="O86" s="145"/>
      <c r="P86" s="145"/>
    </row>
    <row r="87" spans="1:26" ht="20.25" customHeight="1">
      <c r="A87" s="137"/>
      <c r="B87" s="139"/>
      <c r="C87" s="139"/>
      <c r="D87" s="140"/>
      <c r="E87" s="139"/>
      <c r="F87" s="139"/>
      <c r="G87" s="141"/>
      <c r="H87" s="142" t="s">
        <v>35</v>
      </c>
      <c r="I87" s="143">
        <f t="shared" ref="I87:J87" ca="1" si="64">I99</f>
        <v>215</v>
      </c>
      <c r="J87" s="143">
        <f t="shared" ca="1" si="64"/>
        <v>215</v>
      </c>
      <c r="K87" s="144">
        <f t="shared" ca="1" si="63"/>
        <v>100</v>
      </c>
      <c r="L87" s="145"/>
      <c r="M87" s="145"/>
      <c r="N87" s="145"/>
      <c r="O87" s="145"/>
      <c r="P87" s="145"/>
    </row>
    <row r="88" spans="1:26" ht="20.25" customHeight="1">
      <c r="A88" s="146"/>
      <c r="B88" s="147"/>
      <c r="C88" s="148" t="s">
        <v>16</v>
      </c>
      <c r="D88" s="149" t="s">
        <v>17</v>
      </c>
      <c r="E88" s="147"/>
      <c r="F88" s="147"/>
      <c r="G88" s="150"/>
      <c r="H88" s="151" t="s">
        <v>12</v>
      </c>
      <c r="I88" s="152"/>
      <c r="J88" s="152"/>
      <c r="K88" s="153"/>
      <c r="L88" s="154">
        <f t="shared" ref="L88:N88" ca="1" si="65">L89+L90</f>
        <v>3424660</v>
      </c>
      <c r="M88" s="154">
        <f t="shared" ca="1" si="65"/>
        <v>3453165</v>
      </c>
      <c r="N88" s="154">
        <f t="shared" ca="1" si="65"/>
        <v>3453165</v>
      </c>
      <c r="O88" s="154">
        <f t="shared" ref="O88:O96" ca="1" si="66">IF(L88&gt;0,N88*100/L88,0)</f>
        <v>100.83234540071132</v>
      </c>
      <c r="P88" s="154">
        <f t="shared" ref="P88:P96" ca="1" si="67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20.25" hidden="1" customHeight="1">
      <c r="A89" s="155"/>
      <c r="B89" s="39"/>
      <c r="C89" s="39"/>
      <c r="D89" s="39"/>
      <c r="E89" s="40" t="s">
        <v>18</v>
      </c>
      <c r="F89" s="39"/>
      <c r="G89" s="156"/>
      <c r="H89" s="157" t="s">
        <v>12</v>
      </c>
      <c r="I89" s="43"/>
      <c r="J89" s="43"/>
      <c r="K89" s="44"/>
      <c r="L89" s="44">
        <f t="shared" ref="L89:N89" si="68">L92+L95</f>
        <v>0</v>
      </c>
      <c r="M89" s="44">
        <f t="shared" si="68"/>
        <v>0</v>
      </c>
      <c r="N89" s="44">
        <f t="shared" si="68"/>
        <v>0</v>
      </c>
      <c r="O89" s="44">
        <f t="shared" si="66"/>
        <v>0</v>
      </c>
      <c r="P89" s="44">
        <f t="shared" si="67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0.25" hidden="1" customHeight="1">
      <c r="A90" s="155"/>
      <c r="B90" s="39"/>
      <c r="C90" s="39"/>
      <c r="D90" s="39"/>
      <c r="E90" s="40" t="s">
        <v>19</v>
      </c>
      <c r="F90" s="39"/>
      <c r="G90" s="156"/>
      <c r="H90" s="157" t="s">
        <v>12</v>
      </c>
      <c r="I90" s="43"/>
      <c r="J90" s="43"/>
      <c r="K90" s="44"/>
      <c r="L90" s="44">
        <f t="shared" ref="L90:N90" ca="1" si="69">L93+L96</f>
        <v>3424660</v>
      </c>
      <c r="M90" s="44">
        <f t="shared" ca="1" si="69"/>
        <v>3453165</v>
      </c>
      <c r="N90" s="44">
        <f t="shared" ca="1" si="69"/>
        <v>3453165</v>
      </c>
      <c r="O90" s="44">
        <f t="shared" ca="1" si="66"/>
        <v>100.83234540071132</v>
      </c>
      <c r="P90" s="44">
        <f t="shared" ca="1" si="67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0.25" customHeight="1">
      <c r="A91" s="158"/>
      <c r="B91" s="32"/>
      <c r="C91" s="159"/>
      <c r="D91" s="33" t="s">
        <v>20</v>
      </c>
      <c r="E91" s="32"/>
      <c r="F91" s="32"/>
      <c r="G91" s="34"/>
      <c r="H91" s="160" t="s">
        <v>12</v>
      </c>
      <c r="I91" s="161"/>
      <c r="J91" s="161"/>
      <c r="K91" s="162"/>
      <c r="L91" s="37">
        <f t="shared" ref="L91:N91" ca="1" si="70">L92+L93</f>
        <v>3424660</v>
      </c>
      <c r="M91" s="37">
        <f t="shared" ca="1" si="70"/>
        <v>3453165</v>
      </c>
      <c r="N91" s="37">
        <f t="shared" ca="1" si="70"/>
        <v>3453165</v>
      </c>
      <c r="O91" s="37">
        <f t="shared" ca="1" si="66"/>
        <v>100.83234540071132</v>
      </c>
      <c r="P91" s="37">
        <f t="shared" ca="1" si="67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20.25" hidden="1" customHeight="1">
      <c r="A92" s="155"/>
      <c r="B92" s="39"/>
      <c r="C92" s="163"/>
      <c r="D92" s="39"/>
      <c r="E92" s="40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44">
        <f t="shared" si="66"/>
        <v>0</v>
      </c>
      <c r="P92" s="44">
        <f t="shared" si="67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0.25" hidden="1" customHeight="1">
      <c r="A93" s="155"/>
      <c r="B93" s="39"/>
      <c r="C93" s="163"/>
      <c r="D93" s="39"/>
      <c r="E93" s="40" t="s">
        <v>37</v>
      </c>
      <c r="F93" s="39"/>
      <c r="G93" s="156"/>
      <c r="H93" s="164" t="s">
        <v>12</v>
      </c>
      <c r="I93" s="165"/>
      <c r="J93" s="165"/>
      <c r="K93" s="166"/>
      <c r="L93" s="44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4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"),3453165)</f>
        <v>3453165</v>
      </c>
      <c r="N93" s="44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"),3453165)</f>
        <v>3453165</v>
      </c>
      <c r="O93" s="44">
        <f t="shared" ca="1" si="66"/>
        <v>100.83234540071132</v>
      </c>
      <c r="P93" s="44">
        <f t="shared" ca="1" si="67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0.25" customHeight="1">
      <c r="A94" s="158"/>
      <c r="B94" s="32"/>
      <c r="C94" s="159"/>
      <c r="D94" s="33" t="s">
        <v>21</v>
      </c>
      <c r="E94" s="32"/>
      <c r="F94" s="32"/>
      <c r="G94" s="34"/>
      <c r="H94" s="167" t="s">
        <v>12</v>
      </c>
      <c r="I94" s="161"/>
      <c r="J94" s="161"/>
      <c r="K94" s="162"/>
      <c r="L94" s="37">
        <f t="shared" ref="L94:N94" ca="1" si="71">L95+L96</f>
        <v>0</v>
      </c>
      <c r="M94" s="37">
        <f t="shared" ca="1" si="71"/>
        <v>0</v>
      </c>
      <c r="N94" s="37">
        <f t="shared" ca="1" si="71"/>
        <v>0</v>
      </c>
      <c r="O94" s="37">
        <f t="shared" ca="1" si="66"/>
        <v>0</v>
      </c>
      <c r="P94" s="37">
        <f t="shared" ca="1" si="67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20.25" hidden="1" customHeight="1">
      <c r="A95" s="155"/>
      <c r="B95" s="39"/>
      <c r="C95" s="163"/>
      <c r="D95" s="39"/>
      <c r="E95" s="40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44">
        <f t="shared" si="66"/>
        <v>0</v>
      </c>
      <c r="P95" s="44">
        <f t="shared" si="67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0.25" hidden="1" customHeight="1">
      <c r="A96" s="155"/>
      <c r="B96" s="39"/>
      <c r="C96" s="163"/>
      <c r="D96" s="39"/>
      <c r="E96" s="40" t="s">
        <v>19</v>
      </c>
      <c r="F96" s="39"/>
      <c r="G96" s="156"/>
      <c r="H96" s="168" t="s">
        <v>12</v>
      </c>
      <c r="I96" s="165"/>
      <c r="J96" s="165"/>
      <c r="K96" s="166"/>
      <c r="L96" s="44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4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4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4">
        <f t="shared" ca="1" si="66"/>
        <v>0</v>
      </c>
      <c r="P96" s="44">
        <f t="shared" ca="1" si="67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20.25" customHeight="1">
      <c r="A97" s="169"/>
      <c r="B97" s="170"/>
      <c r="C97" s="163" t="s">
        <v>16</v>
      </c>
      <c r="D97" s="171" t="s">
        <v>38</v>
      </c>
      <c r="E97" s="172"/>
      <c r="F97" s="172"/>
      <c r="G97" s="173"/>
      <c r="H97" s="174"/>
      <c r="I97" s="161"/>
      <c r="J97" s="36"/>
      <c r="K97" s="37"/>
      <c r="L97" s="37"/>
      <c r="M97" s="37"/>
      <c r="N97" s="37"/>
      <c r="O97" s="162"/>
      <c r="P97" s="162"/>
    </row>
    <row r="98" spans="1:16" ht="20.25" customHeight="1">
      <c r="A98" s="169"/>
      <c r="B98" s="170"/>
      <c r="C98" s="170"/>
      <c r="D98" s="180" t="s">
        <v>47</v>
      </c>
      <c r="E98" s="176"/>
      <c r="F98" s="177"/>
      <c r="G98" s="178"/>
      <c r="H98" s="35" t="s">
        <v>46</v>
      </c>
      <c r="I98" s="36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6">
        <f ca="1">J102</f>
        <v>645</v>
      </c>
      <c r="K98" s="37">
        <f t="shared" ref="K98:K100" ca="1" si="72">IF(I98&gt;0,J98*100/I98,0)</f>
        <v>100</v>
      </c>
      <c r="L98" s="37"/>
      <c r="M98" s="37"/>
      <c r="N98" s="37"/>
      <c r="O98" s="162"/>
      <c r="P98" s="162"/>
    </row>
    <row r="99" spans="1:16" ht="20.25" customHeight="1">
      <c r="A99" s="169"/>
      <c r="B99" s="170"/>
      <c r="C99" s="170"/>
      <c r="D99" s="180" t="s">
        <v>48</v>
      </c>
      <c r="E99" s="176"/>
      <c r="F99" s="177"/>
      <c r="G99" s="178"/>
      <c r="H99" s="35" t="s">
        <v>35</v>
      </c>
      <c r="I99" s="36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6">
        <f ca="1">J104</f>
        <v>215</v>
      </c>
      <c r="K99" s="37">
        <f t="shared" ca="1" si="72"/>
        <v>100</v>
      </c>
      <c r="L99" s="37"/>
      <c r="M99" s="37"/>
      <c r="N99" s="37"/>
      <c r="O99" s="162"/>
      <c r="P99" s="162"/>
    </row>
    <row r="100" spans="1:16" ht="20.25" customHeight="1">
      <c r="A100" s="169"/>
      <c r="B100" s="170"/>
      <c r="C100" s="170"/>
      <c r="D100" s="170"/>
      <c r="E100" s="177"/>
      <c r="F100" s="177"/>
      <c r="G100" s="178"/>
      <c r="H100" s="35" t="s">
        <v>49</v>
      </c>
      <c r="I100" s="36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6">
        <f ca="1">J107+J110</f>
        <v>38</v>
      </c>
      <c r="K100" s="37">
        <f t="shared" ca="1" si="72"/>
        <v>100</v>
      </c>
      <c r="L100" s="37"/>
      <c r="M100" s="37"/>
      <c r="N100" s="37"/>
      <c r="O100" s="162"/>
      <c r="P100" s="162"/>
    </row>
    <row r="101" spans="1:16" ht="20.25" customHeight="1">
      <c r="A101" s="169"/>
      <c r="B101" s="170"/>
      <c r="C101" s="170"/>
      <c r="D101" s="177"/>
      <c r="E101" s="185" t="s">
        <v>50</v>
      </c>
      <c r="F101" s="177"/>
      <c r="G101" s="178"/>
      <c r="H101" s="35"/>
      <c r="I101" s="36"/>
      <c r="J101" s="36"/>
      <c r="K101" s="37"/>
      <c r="L101" s="37"/>
      <c r="M101" s="37"/>
      <c r="N101" s="37"/>
      <c r="O101" s="162"/>
      <c r="P101" s="162"/>
    </row>
    <row r="102" spans="1:16" ht="20.25" customHeight="1">
      <c r="A102" s="169"/>
      <c r="B102" s="170"/>
      <c r="C102" s="170"/>
      <c r="D102" s="177"/>
      <c r="E102" s="186" t="s">
        <v>47</v>
      </c>
      <c r="F102" s="177"/>
      <c r="G102" s="178"/>
      <c r="H102" s="35" t="s">
        <v>46</v>
      </c>
      <c r="I102" s="36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2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7">
        <f t="shared" ref="K102:K104" ca="1" si="73">IF(I102&gt;0,J102*100/I102,0)</f>
        <v>100</v>
      </c>
      <c r="L102" s="37"/>
      <c r="M102" s="37"/>
      <c r="N102" s="37"/>
      <c r="O102" s="162"/>
      <c r="P102" s="162"/>
    </row>
    <row r="103" spans="1:16" ht="20.25" customHeight="1">
      <c r="A103" s="169"/>
      <c r="B103" s="170"/>
      <c r="C103" s="170"/>
      <c r="D103" s="177"/>
      <c r="E103" s="180" t="s">
        <v>51</v>
      </c>
      <c r="F103" s="177"/>
      <c r="G103" s="178"/>
      <c r="H103" s="35" t="s">
        <v>35</v>
      </c>
      <c r="I103" s="36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2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7">
        <f t="shared" ca="1" si="73"/>
        <v>100</v>
      </c>
      <c r="L103" s="37"/>
      <c r="M103" s="37"/>
      <c r="N103" s="37"/>
      <c r="O103" s="162"/>
      <c r="P103" s="162"/>
    </row>
    <row r="104" spans="1:16" ht="20.25" customHeight="1">
      <c r="A104" s="169"/>
      <c r="B104" s="170"/>
      <c r="C104" s="170"/>
      <c r="D104" s="177"/>
      <c r="E104" s="187" t="s">
        <v>52</v>
      </c>
      <c r="F104" s="177"/>
      <c r="G104" s="178"/>
      <c r="H104" s="35" t="s">
        <v>35</v>
      </c>
      <c r="I104" s="36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2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7">
        <f t="shared" ca="1" si="73"/>
        <v>100</v>
      </c>
      <c r="L104" s="37"/>
      <c r="M104" s="37"/>
      <c r="N104" s="37"/>
      <c r="O104" s="162"/>
      <c r="P104" s="162"/>
    </row>
    <row r="105" spans="1:16" ht="20.25" customHeight="1">
      <c r="A105" s="169"/>
      <c r="B105" s="170"/>
      <c r="C105" s="170"/>
      <c r="D105" s="177"/>
      <c r="E105" s="185" t="s">
        <v>53</v>
      </c>
      <c r="F105" s="177"/>
      <c r="G105" s="178"/>
      <c r="H105" s="188"/>
      <c r="I105" s="36"/>
      <c r="J105" s="36"/>
      <c r="K105" s="37"/>
      <c r="L105" s="37"/>
      <c r="M105" s="37"/>
      <c r="N105" s="37"/>
      <c r="O105" s="162"/>
      <c r="P105" s="162"/>
    </row>
    <row r="106" spans="1:16" ht="20.25" customHeight="1">
      <c r="A106" s="169"/>
      <c r="B106" s="170"/>
      <c r="C106" s="170"/>
      <c r="D106" s="177"/>
      <c r="E106" s="180" t="s">
        <v>54</v>
      </c>
      <c r="F106" s="177"/>
      <c r="G106" s="178"/>
      <c r="H106" s="35" t="s">
        <v>49</v>
      </c>
      <c r="I106" s="36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2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"),17)</f>
        <v>17</v>
      </c>
      <c r="K106" s="37">
        <f t="shared" ref="K106:K107" ca="1" si="74">IF(I106&gt;0,J106*100/I106,0)</f>
        <v>100</v>
      </c>
      <c r="L106" s="37"/>
      <c r="M106" s="37"/>
      <c r="N106" s="37"/>
      <c r="O106" s="162"/>
      <c r="P106" s="162"/>
    </row>
    <row r="107" spans="1:16" ht="20.25" customHeight="1">
      <c r="A107" s="169"/>
      <c r="B107" s="170"/>
      <c r="C107" s="170"/>
      <c r="D107" s="177"/>
      <c r="E107" s="187" t="s">
        <v>55</v>
      </c>
      <c r="F107" s="177"/>
      <c r="G107" s="178"/>
      <c r="H107" s="35" t="s">
        <v>49</v>
      </c>
      <c r="I107" s="36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2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"),17)</f>
        <v>17</v>
      </c>
      <c r="K107" s="37">
        <f t="shared" ca="1" si="74"/>
        <v>100</v>
      </c>
      <c r="L107" s="37"/>
      <c r="M107" s="37"/>
      <c r="N107" s="37"/>
      <c r="O107" s="162"/>
      <c r="P107" s="162"/>
    </row>
    <row r="108" spans="1:16" ht="20.25" customHeight="1">
      <c r="A108" s="169"/>
      <c r="B108" s="170"/>
      <c r="C108" s="170"/>
      <c r="D108" s="177"/>
      <c r="E108" s="185" t="s">
        <v>56</v>
      </c>
      <c r="F108" s="177"/>
      <c r="G108" s="178"/>
      <c r="H108" s="188"/>
      <c r="I108" s="36"/>
      <c r="J108" s="36"/>
      <c r="K108" s="37"/>
      <c r="L108" s="37"/>
      <c r="M108" s="37"/>
      <c r="N108" s="37"/>
      <c r="O108" s="162"/>
      <c r="P108" s="162"/>
    </row>
    <row r="109" spans="1:16" ht="20.25" customHeight="1">
      <c r="A109" s="169"/>
      <c r="B109" s="170"/>
      <c r="C109" s="170"/>
      <c r="D109" s="177"/>
      <c r="E109" s="180" t="s">
        <v>57</v>
      </c>
      <c r="F109" s="177"/>
      <c r="G109" s="178"/>
      <c r="H109" s="35" t="s">
        <v>49</v>
      </c>
      <c r="I109" s="36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2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"),30)</f>
        <v>30</v>
      </c>
      <c r="K109" s="37">
        <f t="shared" ref="K109:K116" ca="1" si="75">IF(I109&gt;0,J109*100/I109,0)</f>
        <v>142.85714285714286</v>
      </c>
      <c r="L109" s="37"/>
      <c r="M109" s="37"/>
      <c r="N109" s="37"/>
      <c r="O109" s="162"/>
      <c r="P109" s="162"/>
    </row>
    <row r="110" spans="1:16" ht="20.25" customHeight="1">
      <c r="A110" s="169"/>
      <c r="B110" s="170"/>
      <c r="C110" s="170"/>
      <c r="D110" s="177"/>
      <c r="E110" s="189" t="s">
        <v>58</v>
      </c>
      <c r="F110" s="177"/>
      <c r="G110" s="178"/>
      <c r="H110" s="35" t="s">
        <v>49</v>
      </c>
      <c r="I110" s="36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2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"),21)</f>
        <v>21</v>
      </c>
      <c r="K110" s="37">
        <f t="shared" ca="1" si="75"/>
        <v>100</v>
      </c>
      <c r="L110" s="37"/>
      <c r="M110" s="37"/>
      <c r="N110" s="37"/>
      <c r="O110" s="162"/>
      <c r="P110" s="162"/>
    </row>
    <row r="111" spans="1:16" ht="20.25" customHeight="1">
      <c r="A111" s="169"/>
      <c r="B111" s="170"/>
      <c r="C111" s="170"/>
      <c r="D111" s="185" t="s">
        <v>59</v>
      </c>
      <c r="E111" s="190"/>
      <c r="F111" s="177"/>
      <c r="G111" s="178"/>
      <c r="H111" s="191" t="s">
        <v>35</v>
      </c>
      <c r="I111" s="192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3">
        <f ca="1">J114</f>
        <v>215</v>
      </c>
      <c r="K111" s="194">
        <f t="shared" ca="1" si="75"/>
        <v>100</v>
      </c>
      <c r="L111" s="37"/>
      <c r="M111" s="37"/>
      <c r="N111" s="37"/>
      <c r="O111" s="162"/>
      <c r="P111" s="162"/>
    </row>
    <row r="112" spans="1:16" ht="20.25" customHeight="1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t="shared" ref="I112:J112" ca="1" si="76">I115+I116</f>
        <v>38</v>
      </c>
      <c r="J112" s="193">
        <f t="shared" ca="1" si="76"/>
        <v>38</v>
      </c>
      <c r="K112" s="194">
        <f t="shared" ca="1" si="75"/>
        <v>100</v>
      </c>
      <c r="L112" s="37"/>
      <c r="M112" s="37"/>
      <c r="N112" s="37"/>
      <c r="O112" s="162"/>
      <c r="P112" s="162"/>
    </row>
    <row r="113" spans="1:26" ht="20.25" customHeight="1">
      <c r="A113" s="169"/>
      <c r="B113" s="170"/>
      <c r="C113" s="170"/>
      <c r="D113" s="170"/>
      <c r="E113" s="196" t="s">
        <v>60</v>
      </c>
      <c r="F113" s="177"/>
      <c r="G113" s="178"/>
      <c r="H113" s="197" t="s">
        <v>35</v>
      </c>
      <c r="I113" s="161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2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"),205)</f>
        <v>205</v>
      </c>
      <c r="K113" s="37">
        <f t="shared" ca="1" si="75"/>
        <v>95.348837209302332</v>
      </c>
      <c r="L113" s="37"/>
      <c r="M113" s="37"/>
      <c r="N113" s="37"/>
      <c r="O113" s="162"/>
      <c r="P113" s="162"/>
    </row>
    <row r="114" spans="1:26" ht="20.25" customHeight="1">
      <c r="A114" s="169"/>
      <c r="B114" s="170"/>
      <c r="C114" s="170"/>
      <c r="D114" s="170"/>
      <c r="E114" s="180" t="s">
        <v>61</v>
      </c>
      <c r="F114" s="177"/>
      <c r="G114" s="178"/>
      <c r="H114" s="198" t="s">
        <v>35</v>
      </c>
      <c r="I114" s="161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2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"),215)</f>
        <v>215</v>
      </c>
      <c r="K114" s="37">
        <f t="shared" ca="1" si="75"/>
        <v>100</v>
      </c>
      <c r="L114" s="37"/>
      <c r="M114" s="37"/>
      <c r="N114" s="37"/>
      <c r="O114" s="162"/>
      <c r="P114" s="162"/>
    </row>
    <row r="115" spans="1:26" ht="20.25" customHeight="1">
      <c r="A115" s="169"/>
      <c r="B115" s="170"/>
      <c r="C115" s="170"/>
      <c r="D115" s="170"/>
      <c r="E115" s="180" t="s">
        <v>62</v>
      </c>
      <c r="F115" s="177"/>
      <c r="G115" s="178"/>
      <c r="H115" s="198" t="s">
        <v>49</v>
      </c>
      <c r="I115" s="161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2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"),17)</f>
        <v>17</v>
      </c>
      <c r="K115" s="37">
        <f t="shared" ca="1" si="75"/>
        <v>100</v>
      </c>
      <c r="L115" s="37"/>
      <c r="M115" s="37"/>
      <c r="N115" s="37"/>
      <c r="O115" s="162"/>
      <c r="P115" s="162"/>
    </row>
    <row r="116" spans="1:26" ht="20.25" customHeight="1">
      <c r="A116" s="169"/>
      <c r="B116" s="170"/>
      <c r="C116" s="170"/>
      <c r="D116" s="170"/>
      <c r="E116" s="180" t="s">
        <v>63</v>
      </c>
      <c r="F116" s="177"/>
      <c r="G116" s="178"/>
      <c r="H116" s="198" t="s">
        <v>49</v>
      </c>
      <c r="I116" s="161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2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"),21)</f>
        <v>21</v>
      </c>
      <c r="K116" s="37">
        <f t="shared" ca="1" si="75"/>
        <v>100</v>
      </c>
      <c r="L116" s="37"/>
      <c r="M116" s="37"/>
      <c r="N116" s="37"/>
      <c r="O116" s="162"/>
      <c r="P116" s="162"/>
    </row>
    <row r="117" spans="1:26" ht="20.25" customHeight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20.25" customHeight="1">
      <c r="A118" s="137"/>
      <c r="B118" s="138" t="s">
        <v>65</v>
      </c>
      <c r="C118" s="203"/>
      <c r="D118" s="140"/>
      <c r="E118" s="139"/>
      <c r="F118" s="139"/>
      <c r="G118" s="141"/>
      <c r="H118" s="204" t="s">
        <v>66</v>
      </c>
      <c r="I118" s="143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"),0)</f>
        <v>0</v>
      </c>
      <c r="J118" s="143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"),0)</f>
        <v>0</v>
      </c>
      <c r="K118" s="144">
        <f ca="1">IF(I118&gt;0,J118*100/I118,0)</f>
        <v>0</v>
      </c>
      <c r="L118" s="145"/>
      <c r="M118" s="145"/>
      <c r="N118" s="145"/>
      <c r="O118" s="145"/>
      <c r="P118" s="145"/>
    </row>
    <row r="119" spans="1:26" ht="20.25" customHeight="1">
      <c r="A119" s="146"/>
      <c r="B119" s="147"/>
      <c r="C119" s="148" t="s">
        <v>16</v>
      </c>
      <c r="D119" s="149" t="s">
        <v>17</v>
      </c>
      <c r="E119" s="147"/>
      <c r="F119" s="147"/>
      <c r="G119" s="150"/>
      <c r="H119" s="151" t="s">
        <v>12</v>
      </c>
      <c r="I119" s="152"/>
      <c r="J119" s="152"/>
      <c r="K119" s="153"/>
      <c r="L119" s="154">
        <f t="shared" ref="L119:N119" ca="1" si="77">L120+L121</f>
        <v>26800</v>
      </c>
      <c r="M119" s="154">
        <f t="shared" ca="1" si="77"/>
        <v>26800</v>
      </c>
      <c r="N119" s="154">
        <f t="shared" ca="1" si="77"/>
        <v>26800</v>
      </c>
      <c r="O119" s="154">
        <f t="shared" ref="O119:O127" ca="1" si="78">IF(L119&gt;0,N119*100/L119,0)</f>
        <v>100</v>
      </c>
      <c r="P119" s="154">
        <f t="shared" ref="P119:P127" ca="1" si="79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20.25" hidden="1" customHeight="1">
      <c r="A120" s="155"/>
      <c r="B120" s="39"/>
      <c r="C120" s="39"/>
      <c r="D120" s="39"/>
      <c r="E120" s="40" t="s">
        <v>18</v>
      </c>
      <c r="F120" s="39"/>
      <c r="G120" s="156"/>
      <c r="H120" s="157" t="s">
        <v>12</v>
      </c>
      <c r="I120" s="43"/>
      <c r="J120" s="43"/>
      <c r="K120" s="44"/>
      <c r="L120" s="44">
        <f t="shared" ref="L120:N120" si="80">L123+L126</f>
        <v>0</v>
      </c>
      <c r="M120" s="44">
        <f t="shared" si="80"/>
        <v>0</v>
      </c>
      <c r="N120" s="44">
        <f t="shared" si="80"/>
        <v>0</v>
      </c>
      <c r="O120" s="44">
        <f t="shared" si="78"/>
        <v>0</v>
      </c>
      <c r="P120" s="44">
        <f t="shared" si="79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0.25" hidden="1" customHeight="1">
      <c r="A121" s="155"/>
      <c r="B121" s="39"/>
      <c r="C121" s="39"/>
      <c r="D121" s="39"/>
      <c r="E121" s="40" t="s">
        <v>19</v>
      </c>
      <c r="F121" s="39"/>
      <c r="G121" s="156"/>
      <c r="H121" s="157" t="s">
        <v>12</v>
      </c>
      <c r="I121" s="43"/>
      <c r="J121" s="43"/>
      <c r="K121" s="44"/>
      <c r="L121" s="44">
        <f t="shared" ref="L121:N121" ca="1" si="81">L124+L127</f>
        <v>26800</v>
      </c>
      <c r="M121" s="44">
        <f t="shared" ca="1" si="81"/>
        <v>26800</v>
      </c>
      <c r="N121" s="44">
        <f t="shared" ca="1" si="81"/>
        <v>26800</v>
      </c>
      <c r="O121" s="44">
        <f t="shared" ca="1" si="78"/>
        <v>100</v>
      </c>
      <c r="P121" s="44">
        <f t="shared" ca="1" si="79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0.25" customHeight="1">
      <c r="A122" s="158"/>
      <c r="B122" s="32"/>
      <c r="C122" s="159"/>
      <c r="D122" s="33" t="s">
        <v>20</v>
      </c>
      <c r="E122" s="32"/>
      <c r="F122" s="32"/>
      <c r="G122" s="34"/>
      <c r="H122" s="160" t="s">
        <v>12</v>
      </c>
      <c r="I122" s="161"/>
      <c r="J122" s="161"/>
      <c r="K122" s="162"/>
      <c r="L122" s="37">
        <f t="shared" ref="L122:N122" ca="1" si="82">L123+L124</f>
        <v>0</v>
      </c>
      <c r="M122" s="37">
        <f t="shared" ca="1" si="82"/>
        <v>0</v>
      </c>
      <c r="N122" s="37">
        <f t="shared" ca="1" si="82"/>
        <v>0</v>
      </c>
      <c r="O122" s="37">
        <f t="shared" ca="1" si="78"/>
        <v>0</v>
      </c>
      <c r="P122" s="37">
        <f t="shared" ca="1" si="79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20.25" hidden="1" customHeight="1">
      <c r="A123" s="155"/>
      <c r="B123" s="39"/>
      <c r="C123" s="205"/>
      <c r="D123" s="39"/>
      <c r="E123" s="40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44">
        <f t="shared" si="78"/>
        <v>0</v>
      </c>
      <c r="P123" s="44">
        <f t="shared" si="79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0.25" hidden="1" customHeight="1">
      <c r="A124" s="155"/>
      <c r="B124" s="39"/>
      <c r="C124" s="205"/>
      <c r="D124" s="39"/>
      <c r="E124" s="40" t="s">
        <v>37</v>
      </c>
      <c r="F124" s="39"/>
      <c r="G124" s="156"/>
      <c r="H124" s="164" t="s">
        <v>12</v>
      </c>
      <c r="I124" s="165"/>
      <c r="J124" s="165"/>
      <c r="K124" s="166"/>
      <c r="L124" s="44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4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4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4">
        <f t="shared" ca="1" si="78"/>
        <v>0</v>
      </c>
      <c r="P124" s="44">
        <f t="shared" ca="1" si="79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0.25" customHeight="1">
      <c r="A125" s="158"/>
      <c r="B125" s="32"/>
      <c r="C125" s="159"/>
      <c r="D125" s="33" t="s">
        <v>21</v>
      </c>
      <c r="E125" s="32"/>
      <c r="F125" s="32"/>
      <c r="G125" s="34"/>
      <c r="H125" s="167" t="s">
        <v>12</v>
      </c>
      <c r="I125" s="161"/>
      <c r="J125" s="161"/>
      <c r="K125" s="162"/>
      <c r="L125" s="37">
        <f t="shared" ref="L125:N125" ca="1" si="83">L126+L127</f>
        <v>26800</v>
      </c>
      <c r="M125" s="37">
        <f t="shared" ca="1" si="83"/>
        <v>26800</v>
      </c>
      <c r="N125" s="37">
        <f t="shared" ca="1" si="83"/>
        <v>26800</v>
      </c>
      <c r="O125" s="37">
        <f t="shared" ca="1" si="78"/>
        <v>100</v>
      </c>
      <c r="P125" s="37">
        <f t="shared" ca="1" si="79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20.25" hidden="1" customHeight="1">
      <c r="A126" s="155"/>
      <c r="B126" s="39"/>
      <c r="C126" s="163"/>
      <c r="D126" s="39"/>
      <c r="E126" s="40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44">
        <f t="shared" si="78"/>
        <v>0</v>
      </c>
      <c r="P126" s="44">
        <f t="shared" si="79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0.25" hidden="1" customHeight="1">
      <c r="A127" s="155"/>
      <c r="B127" s="39"/>
      <c r="C127" s="163"/>
      <c r="D127" s="39"/>
      <c r="E127" s="40" t="s">
        <v>19</v>
      </c>
      <c r="F127" s="39"/>
      <c r="G127" s="156"/>
      <c r="H127" s="168" t="s">
        <v>12</v>
      </c>
      <c r="I127" s="165"/>
      <c r="J127" s="165"/>
      <c r="K127" s="166"/>
      <c r="L127" s="44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4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4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4">
        <f t="shared" ca="1" si="78"/>
        <v>100</v>
      </c>
      <c r="P127" s="44">
        <f t="shared" ca="1" si="79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0.25" customHeight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20.25" customHeight="1">
      <c r="A129" s="137"/>
      <c r="B129" s="13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20.25" customHeight="1">
      <c r="A130" s="137"/>
      <c r="B130" s="208"/>
      <c r="C130" s="209" t="s">
        <v>69</v>
      </c>
      <c r="D130" s="140"/>
      <c r="E130" s="139"/>
      <c r="F130" s="139"/>
      <c r="G130" s="141"/>
      <c r="H130" s="142" t="s">
        <v>66</v>
      </c>
      <c r="I130" s="143">
        <f t="shared" ref="I130:J130" ca="1" si="84">I146</f>
        <v>5</v>
      </c>
      <c r="J130" s="143">
        <f t="shared" ca="1" si="84"/>
        <v>5</v>
      </c>
      <c r="K130" s="144">
        <f t="shared" ref="K130:K131" ca="1" si="85">IF(I130&gt;0,J130*100/I130,0)</f>
        <v>100</v>
      </c>
      <c r="L130" s="145"/>
      <c r="M130" s="145"/>
      <c r="N130" s="145"/>
      <c r="O130" s="145"/>
      <c r="P130" s="145"/>
    </row>
    <row r="131" spans="1:26" ht="20.25" customHeight="1">
      <c r="A131" s="137"/>
      <c r="B131" s="208"/>
      <c r="C131" s="209" t="s">
        <v>70</v>
      </c>
      <c r="D131" s="140"/>
      <c r="E131" s="139"/>
      <c r="F131" s="139"/>
      <c r="G131" s="141"/>
      <c r="H131" s="142" t="s">
        <v>35</v>
      </c>
      <c r="I131" s="143">
        <f t="shared" ref="I131:J131" ca="1" si="86">I143</f>
        <v>50</v>
      </c>
      <c r="J131" s="143">
        <f t="shared" ca="1" si="86"/>
        <v>50</v>
      </c>
      <c r="K131" s="144">
        <f t="shared" ca="1" si="85"/>
        <v>100</v>
      </c>
      <c r="L131" s="145"/>
      <c r="M131" s="145"/>
      <c r="N131" s="145"/>
      <c r="O131" s="145"/>
      <c r="P131" s="145"/>
    </row>
    <row r="132" spans="1:26" ht="20.25" customHeight="1">
      <c r="A132" s="146"/>
      <c r="B132" s="147"/>
      <c r="C132" s="148" t="s">
        <v>16</v>
      </c>
      <c r="D132" s="149" t="s">
        <v>17</v>
      </c>
      <c r="E132" s="147"/>
      <c r="F132" s="147"/>
      <c r="G132" s="150"/>
      <c r="H132" s="151" t="s">
        <v>12</v>
      </c>
      <c r="I132" s="152"/>
      <c r="J132" s="152"/>
      <c r="K132" s="153"/>
      <c r="L132" s="154">
        <f t="shared" ref="L132:N132" ca="1" si="87">L133+L134</f>
        <v>1169175</v>
      </c>
      <c r="M132" s="154">
        <f t="shared" ca="1" si="87"/>
        <v>1171175</v>
      </c>
      <c r="N132" s="154">
        <f t="shared" ca="1" si="87"/>
        <v>1171173.2</v>
      </c>
      <c r="O132" s="154">
        <f t="shared" ref="O132:O140" ca="1" si="88">IF(L132&gt;0,N132*100/L132,0)</f>
        <v>100.17090683601685</v>
      </c>
      <c r="P132" s="154">
        <f t="shared" ref="P132:P140" ca="1" si="89">IF(M132&gt;0,N132*100/M132,0)</f>
        <v>99.999846308194762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20.25" hidden="1" customHeight="1">
      <c r="A133" s="155"/>
      <c r="B133" s="39"/>
      <c r="C133" s="39"/>
      <c r="D133" s="39"/>
      <c r="E133" s="40" t="s">
        <v>18</v>
      </c>
      <c r="F133" s="39"/>
      <c r="G133" s="156"/>
      <c r="H133" s="157" t="s">
        <v>12</v>
      </c>
      <c r="I133" s="43"/>
      <c r="J133" s="43"/>
      <c r="K133" s="44"/>
      <c r="L133" s="44">
        <f t="shared" ref="L133:N133" si="90">L136+L139</f>
        <v>0</v>
      </c>
      <c r="M133" s="44">
        <f t="shared" si="90"/>
        <v>0</v>
      </c>
      <c r="N133" s="44">
        <f t="shared" si="90"/>
        <v>0</v>
      </c>
      <c r="O133" s="44">
        <f t="shared" si="88"/>
        <v>0</v>
      </c>
      <c r="P133" s="44">
        <f t="shared" si="89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0.25" hidden="1" customHeight="1">
      <c r="A134" s="155"/>
      <c r="B134" s="39"/>
      <c r="C134" s="39"/>
      <c r="D134" s="39"/>
      <c r="E134" s="40" t="s">
        <v>19</v>
      </c>
      <c r="F134" s="39"/>
      <c r="G134" s="156"/>
      <c r="H134" s="157" t="s">
        <v>12</v>
      </c>
      <c r="I134" s="43"/>
      <c r="J134" s="43"/>
      <c r="K134" s="44"/>
      <c r="L134" s="44">
        <f t="shared" ref="L134:N134" ca="1" si="91">L137+L140</f>
        <v>1169175</v>
      </c>
      <c r="M134" s="44">
        <f t="shared" ca="1" si="91"/>
        <v>1171175</v>
      </c>
      <c r="N134" s="44">
        <f t="shared" ca="1" si="91"/>
        <v>1171173.2</v>
      </c>
      <c r="O134" s="44">
        <f t="shared" ca="1" si="88"/>
        <v>100.17090683601685</v>
      </c>
      <c r="P134" s="44">
        <f t="shared" ca="1" si="89"/>
        <v>99.999846308194762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0.25" customHeight="1">
      <c r="A135" s="158"/>
      <c r="B135" s="32"/>
      <c r="C135" s="159"/>
      <c r="D135" s="33" t="s">
        <v>20</v>
      </c>
      <c r="E135" s="32"/>
      <c r="F135" s="32"/>
      <c r="G135" s="34"/>
      <c r="H135" s="160" t="s">
        <v>12</v>
      </c>
      <c r="I135" s="161"/>
      <c r="J135" s="161"/>
      <c r="K135" s="162"/>
      <c r="L135" s="37">
        <f t="shared" ref="L135:N135" ca="1" si="92">L136+L137</f>
        <v>654175</v>
      </c>
      <c r="M135" s="37">
        <f t="shared" ca="1" si="92"/>
        <v>656175</v>
      </c>
      <c r="N135" s="37">
        <f t="shared" ca="1" si="92"/>
        <v>656173.19999999995</v>
      </c>
      <c r="O135" s="37">
        <f t="shared" ca="1" si="88"/>
        <v>100.30545343371421</v>
      </c>
      <c r="P135" s="37">
        <f t="shared" ca="1" si="89"/>
        <v>99.999725682935178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20.25" hidden="1" customHeight="1">
      <c r="A136" s="155"/>
      <c r="B136" s="39"/>
      <c r="C136" s="163"/>
      <c r="D136" s="39"/>
      <c r="E136" s="40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44">
        <f t="shared" si="88"/>
        <v>0</v>
      </c>
      <c r="P136" s="44">
        <f t="shared" si="89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0.25" hidden="1" customHeight="1">
      <c r="A137" s="155"/>
      <c r="B137" s="39"/>
      <c r="C137" s="163"/>
      <c r="D137" s="39"/>
      <c r="E137" s="40" t="s">
        <v>37</v>
      </c>
      <c r="F137" s="39"/>
      <c r="G137" s="156"/>
      <c r="H137" s="164" t="s">
        <v>12</v>
      </c>
      <c r="I137" s="165"/>
      <c r="J137" s="165"/>
      <c r="K137" s="166"/>
      <c r="L137" s="44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4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"),656175)</f>
        <v>656175</v>
      </c>
      <c r="N137" s="44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"),656173.2)</f>
        <v>656173.19999999995</v>
      </c>
      <c r="O137" s="44">
        <f t="shared" ca="1" si="88"/>
        <v>100.30545343371421</v>
      </c>
      <c r="P137" s="44">
        <f t="shared" ca="1" si="89"/>
        <v>99.999725682935178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0.25" customHeight="1">
      <c r="A138" s="158"/>
      <c r="B138" s="32"/>
      <c r="C138" s="159"/>
      <c r="D138" s="33" t="s">
        <v>21</v>
      </c>
      <c r="E138" s="32"/>
      <c r="F138" s="32"/>
      <c r="G138" s="34"/>
      <c r="H138" s="167" t="s">
        <v>12</v>
      </c>
      <c r="I138" s="161"/>
      <c r="J138" s="161"/>
      <c r="K138" s="162"/>
      <c r="L138" s="37">
        <f t="shared" ref="L138:N138" ca="1" si="93">L139+L140</f>
        <v>515000</v>
      </c>
      <c r="M138" s="37">
        <f t="shared" ca="1" si="93"/>
        <v>515000</v>
      </c>
      <c r="N138" s="37">
        <f t="shared" ca="1" si="93"/>
        <v>515000</v>
      </c>
      <c r="O138" s="37">
        <f t="shared" ca="1" si="88"/>
        <v>100</v>
      </c>
      <c r="P138" s="37">
        <f t="shared" ca="1" si="89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20.25" hidden="1" customHeight="1">
      <c r="A139" s="155"/>
      <c r="B139" s="39"/>
      <c r="C139" s="163"/>
      <c r="D139" s="39"/>
      <c r="E139" s="40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44">
        <f t="shared" si="88"/>
        <v>0</v>
      </c>
      <c r="P139" s="44">
        <f t="shared" si="89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0.25" hidden="1" customHeight="1">
      <c r="A140" s="155"/>
      <c r="B140" s="39"/>
      <c r="C140" s="163"/>
      <c r="D140" s="39"/>
      <c r="E140" s="40" t="s">
        <v>19</v>
      </c>
      <c r="F140" s="39"/>
      <c r="G140" s="156"/>
      <c r="H140" s="168" t="s">
        <v>12</v>
      </c>
      <c r="I140" s="165"/>
      <c r="J140" s="165"/>
      <c r="K140" s="166"/>
      <c r="L140" s="44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4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4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4">
        <f t="shared" ca="1" si="88"/>
        <v>100</v>
      </c>
      <c r="P140" s="44">
        <f t="shared" ca="1" si="89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0.25" customHeight="1">
      <c r="A141" s="169"/>
      <c r="B141" s="170"/>
      <c r="C141" s="148" t="s">
        <v>16</v>
      </c>
      <c r="D141" s="171" t="s">
        <v>38</v>
      </c>
      <c r="E141" s="172"/>
      <c r="F141" s="172"/>
      <c r="G141" s="173"/>
      <c r="H141" s="167"/>
      <c r="I141" s="36"/>
      <c r="J141" s="36"/>
      <c r="K141" s="37"/>
      <c r="L141" s="37"/>
      <c r="M141" s="37"/>
      <c r="N141" s="37"/>
      <c r="O141" s="37"/>
      <c r="P141" s="37"/>
    </row>
    <row r="142" spans="1:26" ht="20.25" customHeight="1">
      <c r="A142" s="158"/>
      <c r="B142" s="32"/>
      <c r="C142" s="210"/>
      <c r="D142" s="211" t="s">
        <v>71</v>
      </c>
      <c r="E142" s="212"/>
      <c r="F142" s="32"/>
      <c r="G142" s="213"/>
      <c r="H142" s="167"/>
      <c r="I142" s="36"/>
      <c r="J142" s="214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7"/>
      <c r="L142" s="37"/>
      <c r="M142" s="37"/>
      <c r="N142" s="37"/>
      <c r="O142" s="37"/>
      <c r="P142" s="37"/>
    </row>
    <row r="143" spans="1:26" ht="20.25" customHeight="1">
      <c r="A143" s="158"/>
      <c r="B143" s="32"/>
      <c r="C143" s="210"/>
      <c r="D143" s="215" t="s">
        <v>72</v>
      </c>
      <c r="E143" s="212"/>
      <c r="F143" s="32"/>
      <c r="G143" s="213"/>
      <c r="H143" s="167" t="s">
        <v>35</v>
      </c>
      <c r="I143" s="36">
        <f ca="1">I145</f>
        <v>50</v>
      </c>
      <c r="J143" s="36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7">
        <f t="shared" ref="K143:K146" ca="1" si="94">IF(I143&gt;0,J143*100/I143,0)</f>
        <v>100</v>
      </c>
      <c r="L143" s="37"/>
      <c r="M143" s="37"/>
      <c r="N143" s="37"/>
      <c r="O143" s="37"/>
      <c r="P143" s="37"/>
    </row>
    <row r="144" spans="1:26" ht="20.25" customHeight="1">
      <c r="A144" s="158"/>
      <c r="B144" s="32"/>
      <c r="C144" s="210"/>
      <c r="D144" s="177"/>
      <c r="E144" s="211" t="s">
        <v>73</v>
      </c>
      <c r="F144" s="32"/>
      <c r="G144" s="213"/>
      <c r="H144" s="167" t="s">
        <v>35</v>
      </c>
      <c r="I144" s="36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2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7">
        <f t="shared" ca="1" si="94"/>
        <v>200</v>
      </c>
      <c r="L144" s="37"/>
      <c r="M144" s="37"/>
      <c r="N144" s="37"/>
      <c r="O144" s="37"/>
      <c r="P144" s="37"/>
    </row>
    <row r="145" spans="1:26" ht="20.25" customHeight="1">
      <c r="A145" s="158"/>
      <c r="B145" s="32"/>
      <c r="C145" s="210"/>
      <c r="D145" s="177"/>
      <c r="E145" s="211" t="s">
        <v>74</v>
      </c>
      <c r="F145" s="32"/>
      <c r="G145" s="213"/>
      <c r="H145" s="167" t="s">
        <v>35</v>
      </c>
      <c r="I145" s="36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2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7">
        <f t="shared" ca="1" si="94"/>
        <v>100</v>
      </c>
      <c r="L145" s="37"/>
      <c r="M145" s="37"/>
      <c r="N145" s="37"/>
      <c r="O145" s="37"/>
      <c r="P145" s="37"/>
    </row>
    <row r="146" spans="1:26" ht="20.25" customHeight="1">
      <c r="A146" s="158"/>
      <c r="B146" s="32"/>
      <c r="C146" s="210"/>
      <c r="D146" s="211" t="s">
        <v>75</v>
      </c>
      <c r="E146" s="212"/>
      <c r="F146" s="32"/>
      <c r="G146" s="213"/>
      <c r="H146" s="167" t="s">
        <v>66</v>
      </c>
      <c r="I146" s="36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2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7">
        <f t="shared" ca="1" si="94"/>
        <v>100</v>
      </c>
      <c r="L146" s="37"/>
      <c r="M146" s="37"/>
      <c r="N146" s="37"/>
      <c r="O146" s="37"/>
      <c r="P146" s="37"/>
    </row>
    <row r="147" spans="1:26" ht="20.25" customHeight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20.25" customHeight="1">
      <c r="A148" s="216"/>
      <c r="B148" s="138" t="s">
        <v>77</v>
      </c>
      <c r="C148" s="208"/>
      <c r="D148" s="208"/>
      <c r="E148" s="217"/>
      <c r="F148" s="218"/>
      <c r="G148" s="219"/>
      <c r="H148" s="220" t="s">
        <v>35</v>
      </c>
      <c r="I148" s="143">
        <f t="shared" ref="I148:J148" ca="1" si="95">I159</f>
        <v>150</v>
      </c>
      <c r="J148" s="143">
        <f t="shared" ca="1" si="95"/>
        <v>154</v>
      </c>
      <c r="K148" s="144">
        <f ca="1">IF(I148&gt;0,J148*100/I148,0)</f>
        <v>102.66666666666667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20.25" customHeight="1">
      <c r="A149" s="146"/>
      <c r="B149" s="147"/>
      <c r="C149" s="148" t="s">
        <v>16</v>
      </c>
      <c r="D149" s="149" t="s">
        <v>17</v>
      </c>
      <c r="E149" s="147"/>
      <c r="F149" s="147"/>
      <c r="G149" s="150"/>
      <c r="H149" s="151" t="s">
        <v>12</v>
      </c>
      <c r="I149" s="152"/>
      <c r="J149" s="152"/>
      <c r="K149" s="153"/>
      <c r="L149" s="154">
        <f t="shared" ref="L149:N149" ca="1" si="96">L150+L151</f>
        <v>75000</v>
      </c>
      <c r="M149" s="154">
        <f t="shared" ca="1" si="96"/>
        <v>134770</v>
      </c>
      <c r="N149" s="154">
        <f t="shared" ca="1" si="96"/>
        <v>134770</v>
      </c>
      <c r="O149" s="154">
        <f t="shared" ref="O149:O157" ca="1" si="97">IF(L149&gt;0,N149*100/L149,0)</f>
        <v>179.69333333333333</v>
      </c>
      <c r="P149" s="154">
        <f t="shared" ref="P149:P157" ca="1" si="98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20.25" hidden="1" customHeight="1">
      <c r="A150" s="155"/>
      <c r="B150" s="39"/>
      <c r="C150" s="39"/>
      <c r="D150" s="39"/>
      <c r="E150" s="40" t="s">
        <v>18</v>
      </c>
      <c r="F150" s="39"/>
      <c r="G150" s="156"/>
      <c r="H150" s="157" t="s">
        <v>12</v>
      </c>
      <c r="I150" s="43"/>
      <c r="J150" s="43"/>
      <c r="K150" s="44"/>
      <c r="L150" s="44">
        <f t="shared" ref="L150:N150" si="99">L153+L156</f>
        <v>0</v>
      </c>
      <c r="M150" s="44">
        <f t="shared" si="99"/>
        <v>0</v>
      </c>
      <c r="N150" s="44">
        <f t="shared" si="99"/>
        <v>0</v>
      </c>
      <c r="O150" s="44">
        <f t="shared" si="97"/>
        <v>0</v>
      </c>
      <c r="P150" s="44">
        <f t="shared" si="98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0.25" hidden="1" customHeight="1">
      <c r="A151" s="155"/>
      <c r="B151" s="39"/>
      <c r="C151" s="39"/>
      <c r="D151" s="39"/>
      <c r="E151" s="40" t="s">
        <v>19</v>
      </c>
      <c r="F151" s="39"/>
      <c r="G151" s="156"/>
      <c r="H151" s="157" t="s">
        <v>12</v>
      </c>
      <c r="I151" s="43"/>
      <c r="J151" s="43"/>
      <c r="K151" s="44"/>
      <c r="L151" s="44">
        <f t="shared" ref="L151:N151" ca="1" si="100">L154+L157</f>
        <v>75000</v>
      </c>
      <c r="M151" s="44">
        <f t="shared" ca="1" si="100"/>
        <v>134770</v>
      </c>
      <c r="N151" s="44">
        <f t="shared" ca="1" si="100"/>
        <v>134770</v>
      </c>
      <c r="O151" s="44">
        <f t="shared" ca="1" si="97"/>
        <v>179.69333333333333</v>
      </c>
      <c r="P151" s="44">
        <f t="shared" ca="1" si="98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0.25" customHeight="1">
      <c r="A152" s="158"/>
      <c r="B152" s="32"/>
      <c r="C152" s="159"/>
      <c r="D152" s="33" t="s">
        <v>20</v>
      </c>
      <c r="E152" s="32"/>
      <c r="F152" s="32"/>
      <c r="G152" s="34"/>
      <c r="H152" s="160" t="s">
        <v>12</v>
      </c>
      <c r="I152" s="161"/>
      <c r="J152" s="161"/>
      <c r="K152" s="162"/>
      <c r="L152" s="37">
        <f t="shared" ref="L152:N152" ca="1" si="101">L153+L154</f>
        <v>75000</v>
      </c>
      <c r="M152" s="37">
        <f t="shared" ca="1" si="101"/>
        <v>134770</v>
      </c>
      <c r="N152" s="37">
        <f t="shared" ca="1" si="101"/>
        <v>134770</v>
      </c>
      <c r="O152" s="37">
        <f t="shared" ca="1" si="97"/>
        <v>179.69333333333333</v>
      </c>
      <c r="P152" s="37">
        <f t="shared" ca="1" si="98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20.25" hidden="1" customHeight="1">
      <c r="A153" s="155"/>
      <c r="B153" s="39"/>
      <c r="C153" s="163"/>
      <c r="D153" s="39"/>
      <c r="E153" s="40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44">
        <f t="shared" si="97"/>
        <v>0</v>
      </c>
      <c r="P153" s="44">
        <f t="shared" si="98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0.25" hidden="1" customHeight="1">
      <c r="A154" s="155"/>
      <c r="B154" s="39"/>
      <c r="C154" s="163"/>
      <c r="D154" s="39"/>
      <c r="E154" s="40" t="s">
        <v>37</v>
      </c>
      <c r="F154" s="39"/>
      <c r="G154" s="156"/>
      <c r="H154" s="164" t="s">
        <v>12</v>
      </c>
      <c r="I154" s="165"/>
      <c r="J154" s="165"/>
      <c r="K154" s="166"/>
      <c r="L154" s="44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4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"),134770)</f>
        <v>134770</v>
      </c>
      <c r="N154" s="44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"),134770)</f>
        <v>134770</v>
      </c>
      <c r="O154" s="44">
        <f t="shared" ca="1" si="97"/>
        <v>179.69333333333333</v>
      </c>
      <c r="P154" s="44">
        <f t="shared" ca="1" si="98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0.25" customHeight="1">
      <c r="A155" s="158"/>
      <c r="B155" s="32"/>
      <c r="C155" s="159"/>
      <c r="D155" s="33" t="s">
        <v>21</v>
      </c>
      <c r="E155" s="32"/>
      <c r="F155" s="32"/>
      <c r="G155" s="34"/>
      <c r="H155" s="167" t="s">
        <v>12</v>
      </c>
      <c r="I155" s="161"/>
      <c r="J155" s="161"/>
      <c r="K155" s="162"/>
      <c r="L155" s="37">
        <f t="shared" ref="L155:N155" ca="1" si="102">L156+L157</f>
        <v>0</v>
      </c>
      <c r="M155" s="37">
        <f t="shared" ca="1" si="102"/>
        <v>0</v>
      </c>
      <c r="N155" s="37">
        <f t="shared" ca="1" si="102"/>
        <v>0</v>
      </c>
      <c r="O155" s="37">
        <f t="shared" ca="1" si="97"/>
        <v>0</v>
      </c>
      <c r="P155" s="37">
        <f t="shared" ca="1" si="98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20.25" hidden="1" customHeight="1">
      <c r="A156" s="155"/>
      <c r="B156" s="39"/>
      <c r="C156" s="163"/>
      <c r="D156" s="39"/>
      <c r="E156" s="40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44">
        <f t="shared" si="97"/>
        <v>0</v>
      </c>
      <c r="P156" s="44">
        <f t="shared" si="98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0.25" hidden="1" customHeight="1">
      <c r="A157" s="155"/>
      <c r="B157" s="39"/>
      <c r="C157" s="163"/>
      <c r="D157" s="39"/>
      <c r="E157" s="40" t="s">
        <v>19</v>
      </c>
      <c r="F157" s="39"/>
      <c r="G157" s="156"/>
      <c r="H157" s="168" t="s">
        <v>12</v>
      </c>
      <c r="I157" s="165"/>
      <c r="J157" s="165"/>
      <c r="K157" s="166"/>
      <c r="L157" s="44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4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4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4">
        <f t="shared" ca="1" si="97"/>
        <v>0</v>
      </c>
      <c r="P157" s="44">
        <f t="shared" ca="1" si="98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0.25" customHeight="1">
      <c r="A158" s="169"/>
      <c r="B158" s="170"/>
      <c r="C158" s="163" t="s">
        <v>16</v>
      </c>
      <c r="D158" s="171" t="s">
        <v>38</v>
      </c>
      <c r="E158" s="172"/>
      <c r="F158" s="172"/>
      <c r="G158" s="173"/>
      <c r="H158" s="167"/>
      <c r="I158" s="36"/>
      <c r="J158" s="36"/>
      <c r="K158" s="37"/>
      <c r="L158" s="37"/>
      <c r="M158" s="37"/>
      <c r="N158" s="37"/>
      <c r="O158" s="37"/>
      <c r="P158" s="37"/>
    </row>
    <row r="159" spans="1:26" ht="20.25" customHeight="1">
      <c r="A159" s="158"/>
      <c r="B159" s="32"/>
      <c r="C159" s="210"/>
      <c r="D159" s="215" t="s">
        <v>78</v>
      </c>
      <c r="E159" s="212"/>
      <c r="F159" s="32"/>
      <c r="G159" s="213"/>
      <c r="H159" s="167" t="s">
        <v>35</v>
      </c>
      <c r="I159" s="36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2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"),154)</f>
        <v>154</v>
      </c>
      <c r="K159" s="37">
        <f ca="1">IF(I159&gt;0,J159*100/I159,0)</f>
        <v>102.66666666666667</v>
      </c>
      <c r="L159" s="37"/>
      <c r="M159" s="37"/>
      <c r="N159" s="37"/>
      <c r="O159" s="37"/>
      <c r="P159" s="37"/>
    </row>
    <row r="160" spans="1:26" ht="20.25" hidden="1" customHeight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43"/>
      <c r="J160" s="43"/>
      <c r="K160" s="44"/>
      <c r="L160" s="44"/>
      <c r="M160" s="44"/>
      <c r="N160" s="44"/>
      <c r="O160" s="44"/>
      <c r="P160" s="4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20.25" hidden="1" customHeight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20.25" customHeight="1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20.25" customHeight="1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20.25" customHeight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t="shared" ref="I164:J164" ca="1" si="103">I174+I177</f>
        <v>194</v>
      </c>
      <c r="J164" s="252">
        <f t="shared" ca="1" si="103"/>
        <v>194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20.25" customHeight="1">
      <c r="A165" s="146"/>
      <c r="B165" s="147"/>
      <c r="C165" s="148" t="s">
        <v>16</v>
      </c>
      <c r="D165" s="149" t="s">
        <v>17</v>
      </c>
      <c r="E165" s="147"/>
      <c r="F165" s="147"/>
      <c r="G165" s="150"/>
      <c r="H165" s="151" t="s">
        <v>12</v>
      </c>
      <c r="I165" s="152"/>
      <c r="J165" s="152"/>
      <c r="K165" s="153"/>
      <c r="L165" s="154">
        <f t="shared" ref="L165:N165" ca="1" si="104">L166+L167</f>
        <v>392970</v>
      </c>
      <c r="M165" s="154">
        <f t="shared" ca="1" si="104"/>
        <v>840640</v>
      </c>
      <c r="N165" s="154">
        <f t="shared" ca="1" si="104"/>
        <v>840640</v>
      </c>
      <c r="O165" s="154">
        <f t="shared" ref="O165:O173" ca="1" si="105">IF(L165&gt;0,N165*100/L165,0)</f>
        <v>213.91963763137136</v>
      </c>
      <c r="P165" s="154">
        <f t="shared" ref="P165:P173" ca="1" si="10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20.25" hidden="1" customHeight="1">
      <c r="A166" s="155"/>
      <c r="B166" s="39"/>
      <c r="C166" s="39"/>
      <c r="D166" s="39"/>
      <c r="E166" s="40" t="s">
        <v>18</v>
      </c>
      <c r="F166" s="39"/>
      <c r="G166" s="156"/>
      <c r="H166" s="157" t="s">
        <v>12</v>
      </c>
      <c r="I166" s="43"/>
      <c r="J166" s="43"/>
      <c r="K166" s="44"/>
      <c r="L166" s="44">
        <f t="shared" ref="L166:N166" si="107">L169+L172</f>
        <v>0</v>
      </c>
      <c r="M166" s="44">
        <f t="shared" si="107"/>
        <v>0</v>
      </c>
      <c r="N166" s="44">
        <f t="shared" si="107"/>
        <v>0</v>
      </c>
      <c r="O166" s="44">
        <f t="shared" si="105"/>
        <v>0</v>
      </c>
      <c r="P166" s="44">
        <f t="shared" si="10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0.25" hidden="1" customHeight="1">
      <c r="A167" s="155"/>
      <c r="B167" s="39"/>
      <c r="C167" s="39"/>
      <c r="D167" s="39"/>
      <c r="E167" s="40" t="s">
        <v>19</v>
      </c>
      <c r="F167" s="39"/>
      <c r="G167" s="156"/>
      <c r="H167" s="157" t="s">
        <v>12</v>
      </c>
      <c r="I167" s="43"/>
      <c r="J167" s="43"/>
      <c r="K167" s="44"/>
      <c r="L167" s="44">
        <f t="shared" ref="L167:N167" ca="1" si="108">L170+L173</f>
        <v>392970</v>
      </c>
      <c r="M167" s="44">
        <f t="shared" ca="1" si="108"/>
        <v>840640</v>
      </c>
      <c r="N167" s="44">
        <f t="shared" ca="1" si="108"/>
        <v>840640</v>
      </c>
      <c r="O167" s="44">
        <f t="shared" ca="1" si="105"/>
        <v>213.91963763137136</v>
      </c>
      <c r="P167" s="44">
        <f t="shared" ca="1" si="10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0.25" customHeight="1">
      <c r="A168" s="158"/>
      <c r="B168" s="32"/>
      <c r="C168" s="159"/>
      <c r="D168" s="33" t="s">
        <v>20</v>
      </c>
      <c r="E168" s="32"/>
      <c r="F168" s="32"/>
      <c r="G168" s="34"/>
      <c r="H168" s="160" t="s">
        <v>12</v>
      </c>
      <c r="I168" s="161"/>
      <c r="J168" s="161"/>
      <c r="K168" s="162"/>
      <c r="L168" s="37">
        <f t="shared" ref="L168:N168" ca="1" si="109">L169+L170</f>
        <v>392970</v>
      </c>
      <c r="M168" s="37">
        <f t="shared" ca="1" si="109"/>
        <v>840640</v>
      </c>
      <c r="N168" s="37">
        <f t="shared" ca="1" si="109"/>
        <v>840640</v>
      </c>
      <c r="O168" s="37">
        <f t="shared" ca="1" si="105"/>
        <v>213.91963763137136</v>
      </c>
      <c r="P168" s="37">
        <f t="shared" ca="1" si="10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20.25" hidden="1" customHeight="1">
      <c r="A169" s="155"/>
      <c r="B169" s="39"/>
      <c r="C169" s="163"/>
      <c r="D169" s="39"/>
      <c r="E169" s="40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44">
        <f t="shared" si="105"/>
        <v>0</v>
      </c>
      <c r="P169" s="44">
        <f t="shared" si="10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0.25" hidden="1" customHeight="1">
      <c r="A170" s="155"/>
      <c r="B170" s="39"/>
      <c r="C170" s="163"/>
      <c r="D170" s="39"/>
      <c r="E170" s="40" t="s">
        <v>37</v>
      </c>
      <c r="F170" s="39"/>
      <c r="G170" s="156"/>
      <c r="H170" s="164" t="s">
        <v>12</v>
      </c>
      <c r="I170" s="165"/>
      <c r="J170" s="165"/>
      <c r="K170" s="166"/>
      <c r="L170" s="44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4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"),840640)</f>
        <v>840640</v>
      </c>
      <c r="N170" s="44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"),840640)</f>
        <v>840640</v>
      </c>
      <c r="O170" s="44">
        <f t="shared" ca="1" si="105"/>
        <v>213.91963763137136</v>
      </c>
      <c r="P170" s="44">
        <f t="shared" ca="1" si="10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0.25" customHeight="1">
      <c r="A171" s="158"/>
      <c r="B171" s="32"/>
      <c r="C171" s="159"/>
      <c r="D171" s="33" t="s">
        <v>21</v>
      </c>
      <c r="E171" s="32"/>
      <c r="F171" s="32"/>
      <c r="G171" s="34"/>
      <c r="H171" s="167" t="s">
        <v>12</v>
      </c>
      <c r="I171" s="161"/>
      <c r="J171" s="161"/>
      <c r="K171" s="162"/>
      <c r="L171" s="37">
        <f t="shared" ref="L171:N171" ca="1" si="110">L172+L173</f>
        <v>0</v>
      </c>
      <c r="M171" s="37">
        <f t="shared" ca="1" si="110"/>
        <v>0</v>
      </c>
      <c r="N171" s="37">
        <f t="shared" ca="1" si="110"/>
        <v>0</v>
      </c>
      <c r="O171" s="37">
        <f t="shared" ca="1" si="105"/>
        <v>0</v>
      </c>
      <c r="P171" s="37">
        <f t="shared" ca="1" si="10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20.25" hidden="1" customHeight="1">
      <c r="A172" s="155"/>
      <c r="B172" s="39"/>
      <c r="C172" s="163"/>
      <c r="D172" s="39"/>
      <c r="E172" s="40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44">
        <f t="shared" si="105"/>
        <v>0</v>
      </c>
      <c r="P172" s="44">
        <f t="shared" si="10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0.25" hidden="1" customHeight="1">
      <c r="A173" s="155"/>
      <c r="B173" s="39"/>
      <c r="C173" s="163"/>
      <c r="D173" s="39"/>
      <c r="E173" s="40" t="s">
        <v>19</v>
      </c>
      <c r="F173" s="39"/>
      <c r="G173" s="156"/>
      <c r="H173" s="168" t="s">
        <v>12</v>
      </c>
      <c r="I173" s="165"/>
      <c r="J173" s="165"/>
      <c r="K173" s="166"/>
      <c r="L173" s="44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4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4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4">
        <f t="shared" ca="1" si="105"/>
        <v>0</v>
      </c>
      <c r="P173" s="44">
        <f t="shared" ca="1" si="10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0.25" customHeight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1">I176</f>
        <v>194</v>
      </c>
      <c r="J174" s="260">
        <f t="shared" ca="1" si="111"/>
        <v>194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20.25" customHeight="1">
      <c r="A175" s="169"/>
      <c r="B175" s="170"/>
      <c r="C175" s="163" t="s">
        <v>16</v>
      </c>
      <c r="D175" s="171" t="s">
        <v>38</v>
      </c>
      <c r="E175" s="172"/>
      <c r="F175" s="172"/>
      <c r="G175" s="173"/>
      <c r="H175" s="174"/>
      <c r="I175" s="161"/>
      <c r="J175" s="161"/>
      <c r="K175" s="162"/>
      <c r="L175" s="162"/>
      <c r="M175" s="162"/>
      <c r="N175" s="162"/>
      <c r="O175" s="162"/>
      <c r="P175" s="162"/>
    </row>
    <row r="176" spans="1:26" ht="20.25" customHeight="1">
      <c r="A176" s="169"/>
      <c r="B176" s="170"/>
      <c r="C176" s="170"/>
      <c r="D176" s="262" t="s">
        <v>85</v>
      </c>
      <c r="E176" s="177"/>
      <c r="F176" s="177"/>
      <c r="G176" s="178"/>
      <c r="H176" s="35" t="s">
        <v>35</v>
      </c>
      <c r="I176" s="36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2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20.25" hidden="1" customHeight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20.25" hidden="1" customHeight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174"/>
      <c r="I178" s="161"/>
      <c r="J178" s="161"/>
      <c r="K178" s="162"/>
      <c r="L178" s="162"/>
      <c r="M178" s="162"/>
      <c r="N178" s="162"/>
      <c r="O178" s="162"/>
      <c r="P178" s="162"/>
    </row>
    <row r="179" spans="1:26" ht="20.25" hidden="1" customHeight="1">
      <c r="A179" s="169"/>
      <c r="B179" s="170"/>
      <c r="C179" s="170"/>
      <c r="D179" s="267" t="s">
        <v>87</v>
      </c>
      <c r="E179" s="177"/>
      <c r="F179" s="268"/>
      <c r="G179" s="178"/>
      <c r="H179" s="42" t="s">
        <v>35</v>
      </c>
      <c r="I179" s="36"/>
      <c r="J179" s="269"/>
      <c r="K179" s="162"/>
      <c r="L179" s="162"/>
      <c r="M179" s="162"/>
      <c r="N179" s="162"/>
      <c r="O179" s="162"/>
      <c r="P179" s="162"/>
    </row>
    <row r="180" spans="1:26" ht="20.25" customHeight="1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t="shared" ref="I180:J180" ca="1" si="112">I225+I226</f>
        <v>380</v>
      </c>
      <c r="J180" s="252">
        <f t="shared" ca="1" si="112"/>
        <v>381</v>
      </c>
      <c r="K180" s="253">
        <f ca="1">IF(I180&gt;0,J180*100/I180,0)</f>
        <v>100.26315789473684</v>
      </c>
      <c r="L180" s="254"/>
      <c r="M180" s="254"/>
      <c r="N180" s="254"/>
      <c r="O180" s="254"/>
      <c r="P180" s="254"/>
    </row>
    <row r="181" spans="1:26" ht="20.25" customHeight="1">
      <c r="A181" s="146"/>
      <c r="B181" s="147"/>
      <c r="C181" s="148" t="s">
        <v>16</v>
      </c>
      <c r="D181" s="149" t="s">
        <v>17</v>
      </c>
      <c r="E181" s="147"/>
      <c r="F181" s="147"/>
      <c r="G181" s="150"/>
      <c r="H181" s="151" t="s">
        <v>12</v>
      </c>
      <c r="I181" s="152"/>
      <c r="J181" s="152"/>
      <c r="K181" s="153"/>
      <c r="L181" s="154">
        <f t="shared" ref="L181:N181" ca="1" si="113">L182+L183</f>
        <v>4809700</v>
      </c>
      <c r="M181" s="154">
        <f t="shared" ca="1" si="113"/>
        <v>5006178</v>
      </c>
      <c r="N181" s="154">
        <f t="shared" ca="1" si="113"/>
        <v>5006178</v>
      </c>
      <c r="O181" s="154">
        <f t="shared" ref="O181:O189" ca="1" si="114">IF(L181&gt;0,N181*100/L181,0)</f>
        <v>104.0850364887623</v>
      </c>
      <c r="P181" s="154">
        <f t="shared" ref="P181:P189" ca="1" si="115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20.25" hidden="1" customHeight="1">
      <c r="A182" s="155"/>
      <c r="B182" s="39"/>
      <c r="C182" s="39"/>
      <c r="D182" s="39"/>
      <c r="E182" s="40" t="s">
        <v>18</v>
      </c>
      <c r="F182" s="39"/>
      <c r="G182" s="156"/>
      <c r="H182" s="157" t="s">
        <v>12</v>
      </c>
      <c r="I182" s="43"/>
      <c r="J182" s="43"/>
      <c r="K182" s="44"/>
      <c r="L182" s="44">
        <f t="shared" ref="L182:N182" si="116">L185+L188</f>
        <v>0</v>
      </c>
      <c r="M182" s="44">
        <f t="shared" si="116"/>
        <v>0</v>
      </c>
      <c r="N182" s="44">
        <f t="shared" si="116"/>
        <v>0</v>
      </c>
      <c r="O182" s="44">
        <f t="shared" si="114"/>
        <v>0</v>
      </c>
      <c r="P182" s="44">
        <f t="shared" si="115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0.25" hidden="1" customHeight="1">
      <c r="A183" s="155"/>
      <c r="B183" s="39"/>
      <c r="C183" s="39"/>
      <c r="D183" s="39"/>
      <c r="E183" s="40" t="s">
        <v>19</v>
      </c>
      <c r="F183" s="39"/>
      <c r="G183" s="156"/>
      <c r="H183" s="157" t="s">
        <v>12</v>
      </c>
      <c r="I183" s="43"/>
      <c r="J183" s="43"/>
      <c r="K183" s="44"/>
      <c r="L183" s="44">
        <f t="shared" ref="L183:N183" ca="1" si="117">L186+L189</f>
        <v>4809700</v>
      </c>
      <c r="M183" s="44">
        <f t="shared" ca="1" si="117"/>
        <v>5006178</v>
      </c>
      <c r="N183" s="44">
        <f t="shared" ca="1" si="117"/>
        <v>5006178</v>
      </c>
      <c r="O183" s="44">
        <f t="shared" ca="1" si="114"/>
        <v>104.0850364887623</v>
      </c>
      <c r="P183" s="44">
        <f t="shared" ca="1" si="115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0.25" customHeight="1">
      <c r="A184" s="158"/>
      <c r="B184" s="32"/>
      <c r="C184" s="159"/>
      <c r="D184" s="33" t="s">
        <v>20</v>
      </c>
      <c r="E184" s="32"/>
      <c r="F184" s="32"/>
      <c r="G184" s="34"/>
      <c r="H184" s="160" t="s">
        <v>12</v>
      </c>
      <c r="I184" s="161"/>
      <c r="J184" s="161"/>
      <c r="K184" s="162"/>
      <c r="L184" s="37">
        <f t="shared" ref="L184:N184" ca="1" si="118">L185+L186</f>
        <v>4809700</v>
      </c>
      <c r="M184" s="37">
        <f t="shared" ca="1" si="118"/>
        <v>5006178</v>
      </c>
      <c r="N184" s="37">
        <f t="shared" ca="1" si="118"/>
        <v>5006178</v>
      </c>
      <c r="O184" s="37">
        <f t="shared" ca="1" si="114"/>
        <v>104.0850364887623</v>
      </c>
      <c r="P184" s="37">
        <f t="shared" ca="1" si="115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20.25" hidden="1" customHeight="1">
      <c r="A185" s="155"/>
      <c r="B185" s="39"/>
      <c r="C185" s="163"/>
      <c r="D185" s="39"/>
      <c r="E185" s="40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44">
        <f t="shared" si="114"/>
        <v>0</v>
      </c>
      <c r="P185" s="44">
        <f t="shared" si="115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0.25" hidden="1" customHeight="1">
      <c r="A186" s="155"/>
      <c r="B186" s="39"/>
      <c r="C186" s="163"/>
      <c r="D186" s="39"/>
      <c r="E186" s="40" t="s">
        <v>37</v>
      </c>
      <c r="F186" s="39"/>
      <c r="G186" s="156"/>
      <c r="H186" s="164" t="s">
        <v>12</v>
      </c>
      <c r="I186" s="165"/>
      <c r="J186" s="165"/>
      <c r="K186" s="166"/>
      <c r="L186" s="44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4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"),5006178)</f>
        <v>5006178</v>
      </c>
      <c r="N186" s="44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"),5006178)</f>
        <v>5006178</v>
      </c>
      <c r="O186" s="44">
        <f t="shared" ca="1" si="114"/>
        <v>104.0850364887623</v>
      </c>
      <c r="P186" s="44">
        <f t="shared" ca="1" si="115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0.25" customHeight="1">
      <c r="A187" s="158"/>
      <c r="B187" s="32"/>
      <c r="C187" s="159"/>
      <c r="D187" s="33" t="s">
        <v>21</v>
      </c>
      <c r="E187" s="32"/>
      <c r="F187" s="32"/>
      <c r="G187" s="34"/>
      <c r="H187" s="167" t="s">
        <v>12</v>
      </c>
      <c r="I187" s="161"/>
      <c r="J187" s="161"/>
      <c r="K187" s="162"/>
      <c r="L187" s="37">
        <f t="shared" ref="L187:N187" ca="1" si="119">L188+L189</f>
        <v>0</v>
      </c>
      <c r="M187" s="37">
        <f t="shared" ca="1" si="119"/>
        <v>0</v>
      </c>
      <c r="N187" s="37">
        <f t="shared" ca="1" si="119"/>
        <v>0</v>
      </c>
      <c r="O187" s="37">
        <f t="shared" ca="1" si="114"/>
        <v>0</v>
      </c>
      <c r="P187" s="37">
        <f t="shared" ca="1" si="115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20.25" hidden="1" customHeight="1">
      <c r="A188" s="155"/>
      <c r="B188" s="39"/>
      <c r="C188" s="163"/>
      <c r="D188" s="39"/>
      <c r="E188" s="40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44">
        <f t="shared" si="114"/>
        <v>0</v>
      </c>
      <c r="P188" s="44">
        <f t="shared" si="115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0.25" hidden="1" customHeight="1">
      <c r="A189" s="155"/>
      <c r="B189" s="39"/>
      <c r="C189" s="163"/>
      <c r="D189" s="39"/>
      <c r="E189" s="40" t="s">
        <v>19</v>
      </c>
      <c r="F189" s="39"/>
      <c r="G189" s="156"/>
      <c r="H189" s="168" t="s">
        <v>12</v>
      </c>
      <c r="I189" s="165"/>
      <c r="J189" s="165"/>
      <c r="K189" s="166"/>
      <c r="L189" s="44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4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4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4">
        <f t="shared" ca="1" si="114"/>
        <v>0</v>
      </c>
      <c r="P189" s="44">
        <f t="shared" ca="1" si="115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0.25" customHeight="1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20">I193</f>
        <v>84</v>
      </c>
      <c r="J190" s="271">
        <f t="shared" ca="1" si="120"/>
        <v>84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20.25" customHeight="1">
      <c r="A191" s="146"/>
      <c r="B191" s="147"/>
      <c r="C191" s="148" t="s">
        <v>16</v>
      </c>
      <c r="D191" s="273" t="s">
        <v>17</v>
      </c>
      <c r="E191" s="147"/>
      <c r="F191" s="147"/>
      <c r="G191" s="150"/>
      <c r="H191" s="274" t="s">
        <v>12</v>
      </c>
      <c r="I191" s="152"/>
      <c r="J191" s="152"/>
      <c r="K191" s="153"/>
      <c r="L191" s="154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4"/>
      <c r="N191" s="275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"),126000)</f>
        <v>126000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20.25" customHeight="1">
      <c r="A192" s="169"/>
      <c r="B192" s="170"/>
      <c r="C192" s="210" t="s">
        <v>16</v>
      </c>
      <c r="D192" s="171" t="s">
        <v>38</v>
      </c>
      <c r="E192" s="172"/>
      <c r="F192" s="172"/>
      <c r="G192" s="173"/>
      <c r="H192" s="174"/>
      <c r="I192" s="36"/>
      <c r="J192" s="36"/>
      <c r="K192" s="37"/>
      <c r="L192" s="37"/>
      <c r="M192" s="37"/>
      <c r="N192" s="37"/>
      <c r="O192" s="37"/>
      <c r="P192" s="3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20.25" customHeight="1">
      <c r="A193" s="169"/>
      <c r="B193" s="170"/>
      <c r="C193" s="170"/>
      <c r="D193" s="180" t="s">
        <v>91</v>
      </c>
      <c r="E193" s="177"/>
      <c r="F193" s="177"/>
      <c r="G193" s="178"/>
      <c r="H193" s="181" t="s">
        <v>90</v>
      </c>
      <c r="I193" s="36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2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"),84)</f>
        <v>84</v>
      </c>
      <c r="K193" s="37">
        <f ca="1">IF(I193&gt;0,J193*100/I193,0)</f>
        <v>100</v>
      </c>
      <c r="L193" s="37"/>
      <c r="M193" s="37"/>
      <c r="N193" s="37"/>
      <c r="O193" s="37"/>
      <c r="P193" s="3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20.25" customHeight="1">
      <c r="A194" s="169"/>
      <c r="B194" s="170"/>
      <c r="C194" s="170"/>
      <c r="D194" s="180" t="s">
        <v>92</v>
      </c>
      <c r="E194" s="177"/>
      <c r="F194" s="177"/>
      <c r="G194" s="178"/>
      <c r="H194" s="276" t="s">
        <v>35</v>
      </c>
      <c r="I194" s="36"/>
      <c r="J194" s="36">
        <f ca="1">J195+J196</f>
        <v>3119</v>
      </c>
      <c r="K194" s="37"/>
      <c r="L194" s="37"/>
      <c r="M194" s="37"/>
      <c r="N194" s="37"/>
      <c r="O194" s="37"/>
      <c r="P194" s="3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20.25" customHeight="1">
      <c r="A195" s="169"/>
      <c r="B195" s="170"/>
      <c r="C195" s="170"/>
      <c r="D195" s="170"/>
      <c r="E195" s="180" t="s">
        <v>93</v>
      </c>
      <c r="F195" s="177"/>
      <c r="G195" s="178"/>
      <c r="H195" s="276" t="s">
        <v>35</v>
      </c>
      <c r="I195" s="36"/>
      <c r="J195" s="182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"),3112)</f>
        <v>3112</v>
      </c>
      <c r="K195" s="37"/>
      <c r="L195" s="37"/>
      <c r="M195" s="37"/>
      <c r="N195" s="37"/>
      <c r="O195" s="37"/>
      <c r="P195" s="3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20.25" customHeight="1">
      <c r="A196" s="169"/>
      <c r="B196" s="170"/>
      <c r="C196" s="170"/>
      <c r="D196" s="170"/>
      <c r="E196" s="180" t="s">
        <v>94</v>
      </c>
      <c r="F196" s="177"/>
      <c r="G196" s="178"/>
      <c r="H196" s="276" t="s">
        <v>35</v>
      </c>
      <c r="I196" s="36"/>
      <c r="J196" s="182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7"/>
      <c r="L196" s="37"/>
      <c r="M196" s="37"/>
      <c r="N196" s="37"/>
      <c r="O196" s="37"/>
      <c r="P196" s="3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20.25" customHeight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1">I204</f>
        <v>39</v>
      </c>
      <c r="J197" s="271">
        <f t="shared" ca="1" si="121"/>
        <v>39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20.25" customHeight="1">
      <c r="A198" s="146"/>
      <c r="B198" s="147"/>
      <c r="C198" s="148" t="s">
        <v>16</v>
      </c>
      <c r="D198" s="273" t="s">
        <v>17</v>
      </c>
      <c r="E198" s="147"/>
      <c r="F198" s="147"/>
      <c r="G198" s="150"/>
      <c r="H198" s="274" t="s">
        <v>12</v>
      </c>
      <c r="I198" s="278"/>
      <c r="J198" s="278"/>
      <c r="K198" s="279"/>
      <c r="L198" s="154">
        <f ca="1">L199+L200+L201+L202</f>
        <v>516980</v>
      </c>
      <c r="M198" s="154"/>
      <c r="N198" s="154">
        <f ca="1">N199+N200+N201+N202</f>
        <v>516980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20.25" customHeight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61"/>
      <c r="J199" s="161"/>
      <c r="K199" s="162"/>
      <c r="L199" s="282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7"/>
      <c r="N199" s="283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"),38000)</f>
        <v>38000</v>
      </c>
      <c r="O199" s="37"/>
      <c r="P199" s="3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20.25" customHeight="1">
      <c r="A200" s="284"/>
      <c r="B200" s="280"/>
      <c r="C200" s="210"/>
      <c r="D200" s="215" t="s">
        <v>98</v>
      </c>
      <c r="E200" s="32"/>
      <c r="F200" s="32"/>
      <c r="G200" s="34"/>
      <c r="H200" s="285" t="s">
        <v>12</v>
      </c>
      <c r="I200" s="36"/>
      <c r="J200" s="36"/>
      <c r="K200" s="37"/>
      <c r="L200" s="282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"),311980)</f>
        <v>311980</v>
      </c>
      <c r="M200" s="37"/>
      <c r="N200" s="283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"),312980)</f>
        <v>312980</v>
      </c>
      <c r="O200" s="37"/>
      <c r="P200" s="3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0"/>
      <c r="C201" s="210"/>
      <c r="D201" s="215" t="s">
        <v>99</v>
      </c>
      <c r="E201" s="32"/>
      <c r="F201" s="32"/>
      <c r="G201" s="34"/>
      <c r="H201" s="285" t="s">
        <v>12</v>
      </c>
      <c r="I201" s="36"/>
      <c r="J201" s="36"/>
      <c r="K201" s="37"/>
      <c r="L201" s="282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7"/>
      <c r="N201" s="283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"),156000)</f>
        <v>156000</v>
      </c>
      <c r="O201" s="37"/>
      <c r="P201" s="3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0"/>
      <c r="C202" s="210"/>
      <c r="D202" s="215" t="s">
        <v>100</v>
      </c>
      <c r="E202" s="32"/>
      <c r="F202" s="32"/>
      <c r="G202" s="34"/>
      <c r="H202" s="285" t="s">
        <v>12</v>
      </c>
      <c r="I202" s="36"/>
      <c r="J202" s="36"/>
      <c r="K202" s="37"/>
      <c r="L202" s="282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7"/>
      <c r="N202" s="283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"),10000)</f>
        <v>10000</v>
      </c>
      <c r="O202" s="37"/>
      <c r="P202" s="3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69"/>
      <c r="B203" s="170"/>
      <c r="C203" s="210" t="s">
        <v>16</v>
      </c>
      <c r="D203" s="171" t="s">
        <v>38</v>
      </c>
      <c r="E203" s="172"/>
      <c r="F203" s="172"/>
      <c r="G203" s="173"/>
      <c r="H203" s="174"/>
      <c r="I203" s="161"/>
      <c r="J203" s="161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20.25" customHeight="1">
      <c r="A204" s="169"/>
      <c r="B204" s="170"/>
      <c r="C204" s="170"/>
      <c r="D204" s="175" t="s">
        <v>101</v>
      </c>
      <c r="E204" s="177"/>
      <c r="F204" s="177"/>
      <c r="G204" s="178"/>
      <c r="H204" s="174" t="s">
        <v>96</v>
      </c>
      <c r="I204" s="269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2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2">
        <f ca="1">IF(I204&gt;0,J204*100/I204,0)</f>
        <v>100</v>
      </c>
      <c r="L204" s="37"/>
      <c r="M204" s="37"/>
      <c r="N204" s="37"/>
      <c r="O204" s="37"/>
      <c r="P204" s="3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20.25" customHeight="1">
      <c r="A205" s="169"/>
      <c r="B205" s="170"/>
      <c r="C205" s="170"/>
      <c r="D205" s="180" t="s">
        <v>59</v>
      </c>
      <c r="E205" s="177"/>
      <c r="F205" s="177"/>
      <c r="G205" s="178"/>
      <c r="H205" s="174"/>
      <c r="I205" s="36"/>
      <c r="J205" s="36"/>
      <c r="K205" s="162"/>
      <c r="L205" s="37"/>
      <c r="M205" s="37"/>
      <c r="N205" s="37"/>
      <c r="O205" s="37"/>
      <c r="P205" s="3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20.25" customHeight="1">
      <c r="A206" s="169"/>
      <c r="B206" s="170"/>
      <c r="C206" s="170"/>
      <c r="D206" s="177"/>
      <c r="E206" s="196" t="s">
        <v>102</v>
      </c>
      <c r="F206" s="287"/>
      <c r="G206" s="288"/>
      <c r="H206" s="289" t="s">
        <v>96</v>
      </c>
      <c r="I206" s="269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2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"),39)</f>
        <v>39</v>
      </c>
      <c r="K206" s="162"/>
      <c r="L206" s="37"/>
      <c r="M206" s="37"/>
      <c r="N206" s="37"/>
      <c r="O206" s="37"/>
      <c r="P206" s="3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20.25" customHeight="1">
      <c r="A207" s="169"/>
      <c r="B207" s="170"/>
      <c r="C207" s="170"/>
      <c r="D207" s="176"/>
      <c r="E207" s="180" t="s">
        <v>103</v>
      </c>
      <c r="F207" s="177"/>
      <c r="G207" s="177"/>
      <c r="H207" s="290" t="s">
        <v>104</v>
      </c>
      <c r="I207" s="36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2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"),2)</f>
        <v>2</v>
      </c>
      <c r="K207" s="162"/>
      <c r="L207" s="37"/>
      <c r="M207" s="37"/>
      <c r="N207" s="37"/>
      <c r="O207" s="37"/>
      <c r="P207" s="3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20.25" customHeight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22">I215</f>
        <v>17</v>
      </c>
      <c r="J208" s="271">
        <f t="shared" ca="1" si="122"/>
        <v>17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20.25" customHeight="1">
      <c r="A209" s="146"/>
      <c r="B209" s="147"/>
      <c r="C209" s="148" t="s">
        <v>16</v>
      </c>
      <c r="D209" s="273" t="s">
        <v>17</v>
      </c>
      <c r="E209" s="147"/>
      <c r="F209" s="147"/>
      <c r="G209" s="150"/>
      <c r="H209" s="274" t="s">
        <v>12</v>
      </c>
      <c r="I209" s="278"/>
      <c r="J209" s="278"/>
      <c r="K209" s="279"/>
      <c r="L209" s="154">
        <f ca="1">L210+L211+L212</f>
        <v>238000</v>
      </c>
      <c r="M209" s="154"/>
      <c r="N209" s="154">
        <f ca="1">N210+N211+N212</f>
        <v>238000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20.25" customHeight="1">
      <c r="A210" s="158"/>
      <c r="B210" s="280"/>
      <c r="C210" s="32"/>
      <c r="D210" s="211" t="s">
        <v>97</v>
      </c>
      <c r="E210" s="32"/>
      <c r="F210" s="32"/>
      <c r="G210" s="34"/>
      <c r="H210" s="160" t="s">
        <v>12</v>
      </c>
      <c r="I210" s="161"/>
      <c r="J210" s="161"/>
      <c r="K210" s="162"/>
      <c r="L210" s="37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7"/>
      <c r="N210" s="283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"),17000)</f>
        <v>17000</v>
      </c>
      <c r="O210" s="37"/>
      <c r="P210" s="3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20.25" customHeight="1">
      <c r="A211" s="284"/>
      <c r="B211" s="280"/>
      <c r="C211" s="292"/>
      <c r="D211" s="215" t="s">
        <v>99</v>
      </c>
      <c r="E211" s="32"/>
      <c r="F211" s="32"/>
      <c r="G211" s="34"/>
      <c r="H211" s="160" t="s">
        <v>12</v>
      </c>
      <c r="I211" s="36"/>
      <c r="J211" s="36"/>
      <c r="K211" s="37"/>
      <c r="L211" s="37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7"/>
      <c r="N211" s="283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"),85000)</f>
        <v>85000</v>
      </c>
      <c r="O211" s="37"/>
      <c r="P211" s="3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0"/>
      <c r="C212" s="292"/>
      <c r="D212" s="215" t="s">
        <v>98</v>
      </c>
      <c r="E212" s="32"/>
      <c r="F212" s="32"/>
      <c r="G212" s="34"/>
      <c r="H212" s="160" t="s">
        <v>12</v>
      </c>
      <c r="I212" s="36"/>
      <c r="J212" s="36"/>
      <c r="K212" s="37"/>
      <c r="L212" s="37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7"/>
      <c r="N212" s="283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"),136000)</f>
        <v>136000</v>
      </c>
      <c r="O212" s="37"/>
      <c r="P212" s="3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69"/>
      <c r="B213" s="170"/>
      <c r="C213" s="292" t="s">
        <v>16</v>
      </c>
      <c r="D213" s="171" t="s">
        <v>38</v>
      </c>
      <c r="E213" s="172"/>
      <c r="F213" s="172"/>
      <c r="G213" s="173"/>
      <c r="H213" s="174"/>
      <c r="I213" s="161"/>
      <c r="J213" s="36"/>
      <c r="K213" s="37"/>
      <c r="L213" s="37"/>
      <c r="M213" s="37"/>
      <c r="N213" s="3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20.25" customHeight="1">
      <c r="A214" s="169"/>
      <c r="B214" s="170"/>
      <c r="C214" s="170"/>
      <c r="D214" s="175" t="s">
        <v>106</v>
      </c>
      <c r="E214" s="177"/>
      <c r="F214" s="177"/>
      <c r="G214" s="178"/>
      <c r="H214" s="174" t="s">
        <v>96</v>
      </c>
      <c r="I214" s="36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2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7">
        <f t="shared" ref="K214:K216" ca="1" si="123">IF(I214&gt;0,J214*100/I214,0)</f>
        <v>100</v>
      </c>
      <c r="L214" s="37"/>
      <c r="M214" s="37"/>
      <c r="N214" s="37"/>
      <c r="O214" s="37"/>
      <c r="P214" s="3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20.25" customHeight="1">
      <c r="A215" s="169"/>
      <c r="B215" s="170"/>
      <c r="C215" s="170"/>
      <c r="D215" s="175" t="s">
        <v>107</v>
      </c>
      <c r="E215" s="177"/>
      <c r="F215" s="177"/>
      <c r="G215" s="178"/>
      <c r="H215" s="174" t="s">
        <v>96</v>
      </c>
      <c r="I215" s="36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2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7">
        <f t="shared" ca="1" si="123"/>
        <v>100</v>
      </c>
      <c r="L215" s="37"/>
      <c r="M215" s="37"/>
      <c r="N215" s="37"/>
      <c r="O215" s="37"/>
      <c r="P215" s="3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20.25" customHeight="1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24">I224</f>
        <v>470200</v>
      </c>
      <c r="J216" s="271">
        <f t="shared" ca="1" si="124"/>
        <v>470200</v>
      </c>
      <c r="K216" s="272">
        <f t="shared" ca="1" si="123"/>
        <v>100</v>
      </c>
      <c r="L216" s="261"/>
      <c r="M216" s="261"/>
      <c r="N216" s="261"/>
      <c r="O216" s="261"/>
      <c r="P216" s="261"/>
    </row>
    <row r="217" spans="1:26" ht="20.25" customHeight="1">
      <c r="A217" s="146"/>
      <c r="B217" s="147"/>
      <c r="C217" s="148" t="s">
        <v>16</v>
      </c>
      <c r="D217" s="273" t="s">
        <v>17</v>
      </c>
      <c r="E217" s="147"/>
      <c r="F217" s="147"/>
      <c r="G217" s="150"/>
      <c r="H217" s="274" t="s">
        <v>12</v>
      </c>
      <c r="I217" s="278"/>
      <c r="J217" s="278"/>
      <c r="K217" s="279"/>
      <c r="L217" s="154">
        <f ca="1">L218+L219+L220</f>
        <v>242700</v>
      </c>
      <c r="M217" s="154"/>
      <c r="N217" s="154">
        <f ca="1">N218+N219+N220</f>
        <v>242700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20.25" customHeight="1">
      <c r="A218" s="158"/>
      <c r="B218" s="280"/>
      <c r="C218" s="32"/>
      <c r="D218" s="211" t="s">
        <v>97</v>
      </c>
      <c r="E218" s="32"/>
      <c r="F218" s="32"/>
      <c r="G218" s="34"/>
      <c r="H218" s="160" t="s">
        <v>12</v>
      </c>
      <c r="I218" s="161"/>
      <c r="J218" s="161"/>
      <c r="K218" s="162"/>
      <c r="L218" s="37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7"/>
      <c r="N218" s="283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"),80700)</f>
        <v>80700</v>
      </c>
      <c r="O218" s="37"/>
      <c r="P218" s="3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20.25" customHeight="1">
      <c r="A219" s="284"/>
      <c r="B219" s="280"/>
      <c r="C219" s="292"/>
      <c r="D219" s="215" t="s">
        <v>110</v>
      </c>
      <c r="E219" s="32"/>
      <c r="F219" s="32"/>
      <c r="G219" s="34"/>
      <c r="H219" s="160" t="s">
        <v>12</v>
      </c>
      <c r="I219" s="36"/>
      <c r="J219" s="36"/>
      <c r="K219" s="37"/>
      <c r="L219" s="37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"),126700)</f>
        <v>126700</v>
      </c>
      <c r="M219" s="37"/>
      <c r="N219" s="283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"),122000)</f>
        <v>122000</v>
      </c>
      <c r="O219" s="37"/>
      <c r="P219" s="3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0"/>
      <c r="C220" s="292"/>
      <c r="D220" s="215" t="s">
        <v>98</v>
      </c>
      <c r="E220" s="32"/>
      <c r="F220" s="32"/>
      <c r="G220" s="34"/>
      <c r="H220" s="160" t="s">
        <v>12</v>
      </c>
      <c r="I220" s="36"/>
      <c r="J220" s="36"/>
      <c r="K220" s="37"/>
      <c r="L220" s="37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7"/>
      <c r="N220" s="283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"),40000)</f>
        <v>40000</v>
      </c>
      <c r="O220" s="37"/>
      <c r="P220" s="3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69"/>
      <c r="B221" s="170"/>
      <c r="C221" s="292" t="s">
        <v>16</v>
      </c>
      <c r="D221" s="171" t="s">
        <v>38</v>
      </c>
      <c r="E221" s="172"/>
      <c r="F221" s="172"/>
      <c r="G221" s="173"/>
      <c r="H221" s="174"/>
      <c r="I221" s="161"/>
      <c r="J221" s="161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20.25" customHeight="1">
      <c r="A222" s="169"/>
      <c r="B222" s="170"/>
      <c r="C222" s="170"/>
      <c r="D222" s="211" t="s">
        <v>111</v>
      </c>
      <c r="E222" s="177"/>
      <c r="F222" s="177"/>
      <c r="G222" s="178"/>
      <c r="H222" s="174"/>
      <c r="I222" s="36"/>
      <c r="J222" s="36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20.25" customHeight="1">
      <c r="A223" s="169"/>
      <c r="B223" s="170"/>
      <c r="C223" s="170"/>
      <c r="D223" s="170"/>
      <c r="E223" s="175" t="s">
        <v>112</v>
      </c>
      <c r="F223" s="177"/>
      <c r="G223" s="178"/>
      <c r="H223" s="181" t="s">
        <v>109</v>
      </c>
      <c r="I223" s="36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2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"),470200)</f>
        <v>470200</v>
      </c>
      <c r="K223" s="162">
        <f t="shared" ref="K223:K226" ca="1" si="125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20.25" customHeight="1">
      <c r="A224" s="169"/>
      <c r="B224" s="170"/>
      <c r="C224" s="170"/>
      <c r="D224" s="170"/>
      <c r="E224" s="175" t="s">
        <v>113</v>
      </c>
      <c r="F224" s="177"/>
      <c r="G224" s="178"/>
      <c r="H224" s="181" t="s">
        <v>109</v>
      </c>
      <c r="I224" s="36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2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"),470200)</f>
        <v>470200</v>
      </c>
      <c r="K224" s="162">
        <f t="shared" ca="1" si="125"/>
        <v>100</v>
      </c>
      <c r="L224" s="37"/>
      <c r="M224" s="37"/>
      <c r="N224" s="37"/>
      <c r="O224" s="37"/>
      <c r="P224" s="3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20.25" customHeight="1">
      <c r="A225" s="169"/>
      <c r="B225" s="170"/>
      <c r="C225" s="170"/>
      <c r="D225" s="211" t="s">
        <v>114</v>
      </c>
      <c r="E225" s="177"/>
      <c r="F225" s="177"/>
      <c r="G225" s="178"/>
      <c r="H225" s="181" t="s">
        <v>35</v>
      </c>
      <c r="I225" s="36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2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2">
        <f t="shared" ca="1" si="125"/>
        <v>100</v>
      </c>
      <c r="L225" s="37"/>
      <c r="M225" s="37"/>
      <c r="N225" s="37"/>
      <c r="O225" s="37"/>
      <c r="P225" s="3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340</v>
      </c>
      <c r="J226" s="299">
        <f t="shared" ca="1" si="126"/>
        <v>341</v>
      </c>
      <c r="K226" s="300">
        <f t="shared" ca="1" si="125"/>
        <v>100.29411764705883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1520400</v>
      </c>
      <c r="M227" s="311"/>
      <c r="N227" s="311">
        <f t="shared" ref="N227:N231" ca="1" si="128">N238+N249</f>
        <v>1520400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282">
        <f t="shared" ca="1" si="127"/>
        <v>686000</v>
      </c>
      <c r="M228" s="282"/>
      <c r="N228" s="282">
        <f t="shared" ca="1" si="128"/>
        <v>685410</v>
      </c>
      <c r="O228" s="282"/>
      <c r="P228" s="28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2"/>
      <c r="B229" s="315"/>
      <c r="C229" s="323"/>
      <c r="D229" s="324" t="s">
        <v>98</v>
      </c>
      <c r="E229" s="316"/>
      <c r="F229" s="316"/>
      <c r="G229" s="318"/>
      <c r="H229" s="319" t="s">
        <v>12</v>
      </c>
      <c r="I229" s="325"/>
      <c r="J229" s="325"/>
      <c r="K229" s="282"/>
      <c r="L229" s="282">
        <f t="shared" ca="1" si="127"/>
        <v>431900</v>
      </c>
      <c r="M229" s="282"/>
      <c r="N229" s="282">
        <f t="shared" ca="1" si="128"/>
        <v>432700</v>
      </c>
      <c r="O229" s="282"/>
      <c r="P229" s="282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20.25" customHeight="1">
      <c r="A230" s="322"/>
      <c r="B230" s="315"/>
      <c r="C230" s="323"/>
      <c r="D230" s="324" t="s">
        <v>116</v>
      </c>
      <c r="E230" s="316"/>
      <c r="F230" s="316"/>
      <c r="G230" s="318"/>
      <c r="H230" s="319" t="s">
        <v>12</v>
      </c>
      <c r="I230" s="325"/>
      <c r="J230" s="325"/>
      <c r="K230" s="282"/>
      <c r="L230" s="282">
        <f t="shared" ca="1" si="127"/>
        <v>252500</v>
      </c>
      <c r="M230" s="282"/>
      <c r="N230" s="282">
        <f t="shared" ca="1" si="128"/>
        <v>252500</v>
      </c>
      <c r="O230" s="282"/>
      <c r="P230" s="282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20.25" customHeight="1">
      <c r="A231" s="322"/>
      <c r="B231" s="315"/>
      <c r="C231" s="323"/>
      <c r="D231" s="324" t="s">
        <v>100</v>
      </c>
      <c r="E231" s="316"/>
      <c r="F231" s="316"/>
      <c r="G231" s="318"/>
      <c r="H231" s="319" t="s">
        <v>12</v>
      </c>
      <c r="I231" s="325"/>
      <c r="J231" s="325"/>
      <c r="K231" s="282"/>
      <c r="L231" s="282">
        <f t="shared" ca="1" si="127"/>
        <v>150000</v>
      </c>
      <c r="M231" s="282"/>
      <c r="N231" s="282">
        <f t="shared" ca="1" si="128"/>
        <v>149790</v>
      </c>
      <c r="O231" s="282"/>
      <c r="P231" s="282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20.25" customHeight="1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20"/>
      <c r="J232" s="325"/>
      <c r="K232" s="282"/>
      <c r="L232" s="282"/>
      <c r="M232" s="282"/>
      <c r="N232" s="28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29">I244+I255</f>
        <v>340</v>
      </c>
      <c r="J233" s="325">
        <f t="shared" ca="1" si="129"/>
        <v>341</v>
      </c>
      <c r="K233" s="282">
        <f ca="1">IF(I233&gt;0,J233*100/I233,0)</f>
        <v>100.29411764705883</v>
      </c>
      <c r="L233" s="282"/>
      <c r="M233" s="282"/>
      <c r="N233" s="282"/>
      <c r="O233" s="282"/>
      <c r="P233" s="28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282"/>
      <c r="L234" s="282"/>
      <c r="M234" s="282"/>
      <c r="N234" s="28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30">I246+I257</f>
        <v>280</v>
      </c>
      <c r="J235" s="325">
        <f t="shared" ca="1" si="130"/>
        <v>281</v>
      </c>
      <c r="K235" s="282">
        <f t="shared" ref="K235:K237" ca="1" si="131">IF(I235&gt;0,J235*100/I235,0)</f>
        <v>100.35714285714286</v>
      </c>
      <c r="L235" s="282"/>
      <c r="M235" s="282"/>
      <c r="N235" s="282"/>
      <c r="O235" s="282"/>
      <c r="P235" s="28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7"/>
      <c r="B236" s="328"/>
      <c r="C236" s="328"/>
      <c r="D236" s="328"/>
      <c r="E236" s="338" t="s">
        <v>119</v>
      </c>
      <c r="F236" s="334"/>
      <c r="G236" s="335"/>
      <c r="H236" s="336" t="s">
        <v>66</v>
      </c>
      <c r="I236" s="325">
        <f t="shared" ref="I236:J236" ca="1" si="132">I247+I258</f>
        <v>13</v>
      </c>
      <c r="J236" s="325">
        <f t="shared" ca="1" si="132"/>
        <v>14</v>
      </c>
      <c r="K236" s="282">
        <f t="shared" ca="1" si="131"/>
        <v>107.69230769230769</v>
      </c>
      <c r="L236" s="282"/>
      <c r="M236" s="282"/>
      <c r="N236" s="282"/>
      <c r="O236" s="282"/>
      <c r="P236" s="28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39"/>
      <c r="B237" s="340"/>
      <c r="C237" s="341" t="s">
        <v>120</v>
      </c>
      <c r="D237" s="342"/>
      <c r="E237" s="342"/>
      <c r="F237" s="342"/>
      <c r="G237" s="343"/>
      <c r="H237" s="265" t="s">
        <v>35</v>
      </c>
      <c r="I237" s="344">
        <f t="shared" ref="I237:J237" ca="1" si="133">I244</f>
        <v>270</v>
      </c>
      <c r="J237" s="344">
        <f t="shared" ca="1" si="133"/>
        <v>271</v>
      </c>
      <c r="K237" s="345">
        <f t="shared" ca="1" si="131"/>
        <v>100.37037037037037</v>
      </c>
      <c r="L237" s="346"/>
      <c r="M237" s="346"/>
      <c r="N237" s="346"/>
      <c r="O237" s="346"/>
      <c r="P237" s="346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20.25" hidden="1" customHeight="1">
      <c r="A238" s="347"/>
      <c r="B238" s="348"/>
      <c r="C238" s="349" t="s">
        <v>16</v>
      </c>
      <c r="D238" s="350" t="s">
        <v>17</v>
      </c>
      <c r="E238" s="348"/>
      <c r="F238" s="348"/>
      <c r="G238" s="351"/>
      <c r="H238" s="352" t="s">
        <v>12</v>
      </c>
      <c r="I238" s="353"/>
      <c r="J238" s="353"/>
      <c r="K238" s="354"/>
      <c r="L238" s="355">
        <f ca="1">L239+L240+L241+L242</f>
        <v>1328300</v>
      </c>
      <c r="M238" s="355"/>
      <c r="N238" s="355">
        <f ca="1">N239+N240+N241+N242</f>
        <v>1328300</v>
      </c>
      <c r="O238" s="355">
        <f ca="1">IF(L238&gt;0,N238*100/L238,0)</f>
        <v>100</v>
      </c>
      <c r="P238" s="355">
        <f>IF(M238&gt;0,N238*100/M238,0)</f>
        <v>0</v>
      </c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0.25" hidden="1" customHeight="1">
      <c r="A239" s="155"/>
      <c r="B239" s="356"/>
      <c r="C239" s="39"/>
      <c r="D239" s="40" t="s">
        <v>97</v>
      </c>
      <c r="E239" s="39"/>
      <c r="F239" s="39"/>
      <c r="G239" s="41"/>
      <c r="H239" s="164" t="s">
        <v>12</v>
      </c>
      <c r="I239" s="165"/>
      <c r="J239" s="165"/>
      <c r="K239" s="166"/>
      <c r="L239" s="44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4"/>
      <c r="N239" s="357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"),640570)</f>
        <v>640570</v>
      </c>
      <c r="O239" s="44"/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0.25" hidden="1" customHeight="1">
      <c r="A240" s="358"/>
      <c r="B240" s="356"/>
      <c r="C240" s="359"/>
      <c r="D240" s="222" t="s">
        <v>98</v>
      </c>
      <c r="E240" s="39"/>
      <c r="F240" s="39"/>
      <c r="G240" s="41"/>
      <c r="H240" s="164" t="s">
        <v>12</v>
      </c>
      <c r="I240" s="43"/>
      <c r="J240" s="43"/>
      <c r="K240" s="44"/>
      <c r="L240" s="44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4"/>
      <c r="N240" s="357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"),365440)</f>
        <v>365440</v>
      </c>
      <c r="O240" s="44"/>
      <c r="P240" s="44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</row>
    <row r="241" spans="1:26" ht="20.25" hidden="1" customHeight="1">
      <c r="A241" s="358"/>
      <c r="B241" s="356"/>
      <c r="C241" s="359"/>
      <c r="D241" s="222" t="s">
        <v>116</v>
      </c>
      <c r="E241" s="39"/>
      <c r="F241" s="39"/>
      <c r="G241" s="41"/>
      <c r="H241" s="164" t="s">
        <v>12</v>
      </c>
      <c r="I241" s="43"/>
      <c r="J241" s="43"/>
      <c r="K241" s="44"/>
      <c r="L241" s="44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4"/>
      <c r="N241" s="357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"),192500)</f>
        <v>192500</v>
      </c>
      <c r="O241" s="44"/>
      <c r="P241" s="44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</row>
    <row r="242" spans="1:26" ht="20.25" hidden="1" customHeight="1">
      <c r="A242" s="358"/>
      <c r="B242" s="356"/>
      <c r="C242" s="359"/>
      <c r="D242" s="222" t="s">
        <v>100</v>
      </c>
      <c r="E242" s="39"/>
      <c r="F242" s="39"/>
      <c r="G242" s="41"/>
      <c r="H242" s="164" t="s">
        <v>12</v>
      </c>
      <c r="I242" s="43"/>
      <c r="J242" s="43"/>
      <c r="K242" s="44"/>
      <c r="L242" s="44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4"/>
      <c r="N242" s="357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"),129790)</f>
        <v>129790</v>
      </c>
      <c r="O242" s="44"/>
      <c r="P242" s="44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</row>
    <row r="243" spans="1:26" ht="20.25" hidden="1" customHeight="1">
      <c r="A243" s="361"/>
      <c r="B243" s="362"/>
      <c r="C243" s="359" t="s">
        <v>16</v>
      </c>
      <c r="D243" s="266" t="s">
        <v>38</v>
      </c>
      <c r="E243" s="363"/>
      <c r="F243" s="363"/>
      <c r="G243" s="364"/>
      <c r="H243" s="365"/>
      <c r="I243" s="165"/>
      <c r="J243" s="43"/>
      <c r="K243" s="44"/>
      <c r="L243" s="44"/>
      <c r="M243" s="44"/>
      <c r="N243" s="44"/>
      <c r="O243" s="166"/>
      <c r="P243" s="166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0.25" hidden="1" customHeight="1">
      <c r="A244" s="361"/>
      <c r="B244" s="362"/>
      <c r="C244" s="362"/>
      <c r="D244" s="366" t="s">
        <v>117</v>
      </c>
      <c r="E244" s="367"/>
      <c r="F244" s="367"/>
      <c r="G244" s="368"/>
      <c r="H244" s="369" t="s">
        <v>35</v>
      </c>
      <c r="I244" s="43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0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"),271)</f>
        <v>271</v>
      </c>
      <c r="K244" s="44">
        <f ca="1">IF(I244&gt;0,J244*100/I244,0)</f>
        <v>100.37037037037037</v>
      </c>
      <c r="L244" s="44"/>
      <c r="M244" s="44"/>
      <c r="N244" s="44"/>
      <c r="O244" s="44"/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0.25" hidden="1" customHeight="1">
      <c r="A245" s="361"/>
      <c r="B245" s="362"/>
      <c r="C245" s="362"/>
      <c r="D245" s="371" t="s">
        <v>43</v>
      </c>
      <c r="E245" s="372"/>
      <c r="F245" s="367"/>
      <c r="G245" s="368"/>
      <c r="H245" s="369"/>
      <c r="I245" s="43"/>
      <c r="J245" s="43"/>
      <c r="K245" s="44"/>
      <c r="L245" s="44"/>
      <c r="M245" s="44"/>
      <c r="N245" s="44"/>
      <c r="O245" s="166"/>
      <c r="P245" s="166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0.25" hidden="1" customHeight="1">
      <c r="A246" s="361"/>
      <c r="B246" s="362"/>
      <c r="C246" s="362"/>
      <c r="D246" s="362"/>
      <c r="E246" s="373" t="s">
        <v>118</v>
      </c>
      <c r="F246" s="367"/>
      <c r="G246" s="368"/>
      <c r="H246" s="369" t="s">
        <v>35</v>
      </c>
      <c r="I246" s="43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0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"),251)</f>
        <v>251</v>
      </c>
      <c r="K246" s="44">
        <f t="shared" ref="K246:K248" ca="1" si="134">IF(I246&gt;0,J246*100/I246,0)</f>
        <v>100.4</v>
      </c>
      <c r="L246" s="44"/>
      <c r="M246" s="44"/>
      <c r="N246" s="44"/>
      <c r="O246" s="44"/>
      <c r="P246" s="44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0.25" hidden="1" customHeight="1">
      <c r="A247" s="361"/>
      <c r="B247" s="362"/>
      <c r="C247" s="362"/>
      <c r="D247" s="362"/>
      <c r="E247" s="267" t="s">
        <v>119</v>
      </c>
      <c r="F247" s="367"/>
      <c r="G247" s="368"/>
      <c r="H247" s="369" t="s">
        <v>66</v>
      </c>
      <c r="I247" s="43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0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"),12)</f>
        <v>12</v>
      </c>
      <c r="K247" s="44">
        <f t="shared" ca="1" si="134"/>
        <v>109.09090909090909</v>
      </c>
      <c r="L247" s="44"/>
      <c r="M247" s="44"/>
      <c r="N247" s="44"/>
      <c r="O247" s="44"/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0.25" hidden="1" customHeight="1">
      <c r="A248" s="339"/>
      <c r="B248" s="340"/>
      <c r="C248" s="341" t="s">
        <v>121</v>
      </c>
      <c r="D248" s="342"/>
      <c r="E248" s="342"/>
      <c r="F248" s="342"/>
      <c r="G248" s="343"/>
      <c r="H248" s="265" t="s">
        <v>35</v>
      </c>
      <c r="I248" s="344">
        <f t="shared" ref="I248:J248" ca="1" si="135">I255</f>
        <v>70</v>
      </c>
      <c r="J248" s="344">
        <f t="shared" ca="1" si="135"/>
        <v>70</v>
      </c>
      <c r="K248" s="345">
        <f t="shared" ca="1" si="134"/>
        <v>100</v>
      </c>
      <c r="L248" s="346"/>
      <c r="M248" s="346"/>
      <c r="N248" s="346"/>
      <c r="O248" s="346"/>
      <c r="P248" s="346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20.25" hidden="1" customHeight="1">
      <c r="A249" s="347"/>
      <c r="B249" s="348"/>
      <c r="C249" s="349" t="s">
        <v>16</v>
      </c>
      <c r="D249" s="374" t="s">
        <v>17</v>
      </c>
      <c r="E249" s="348"/>
      <c r="F249" s="348"/>
      <c r="G249" s="351"/>
      <c r="H249" s="352" t="s">
        <v>12</v>
      </c>
      <c r="I249" s="353"/>
      <c r="J249" s="353"/>
      <c r="K249" s="354"/>
      <c r="L249" s="355">
        <f ca="1">L250+L251+L252+L253</f>
        <v>192100</v>
      </c>
      <c r="M249" s="355"/>
      <c r="N249" s="355">
        <f ca="1">N250+N251+N252+N253</f>
        <v>192100</v>
      </c>
      <c r="O249" s="355">
        <f ca="1">IF(L249&gt;0,N249*100/L249,0)</f>
        <v>100</v>
      </c>
      <c r="P249" s="355">
        <f>IF(M249&gt;0,N249*100/M249,0)</f>
        <v>0</v>
      </c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0.25" hidden="1" customHeight="1">
      <c r="A250" s="155"/>
      <c r="B250" s="356"/>
      <c r="C250" s="39"/>
      <c r="D250" s="40" t="s">
        <v>97</v>
      </c>
      <c r="E250" s="39"/>
      <c r="F250" s="39"/>
      <c r="G250" s="41"/>
      <c r="H250" s="164" t="s">
        <v>12</v>
      </c>
      <c r="I250" s="165"/>
      <c r="J250" s="165"/>
      <c r="K250" s="166"/>
      <c r="L250" s="44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4"/>
      <c r="N250" s="357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"),44840)</f>
        <v>44840</v>
      </c>
      <c r="O250" s="44"/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0.25" hidden="1" customHeight="1">
      <c r="A251" s="358"/>
      <c r="B251" s="356"/>
      <c r="C251" s="359"/>
      <c r="D251" s="222" t="s">
        <v>98</v>
      </c>
      <c r="E251" s="39"/>
      <c r="F251" s="39"/>
      <c r="G251" s="41"/>
      <c r="H251" s="164" t="s">
        <v>12</v>
      </c>
      <c r="I251" s="43"/>
      <c r="J251" s="43"/>
      <c r="K251" s="44"/>
      <c r="L251" s="44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4"/>
      <c r="N251" s="357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4"/>
      <c r="P251" s="44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spans="1:26" ht="20.25" hidden="1" customHeight="1">
      <c r="A252" s="358"/>
      <c r="B252" s="356"/>
      <c r="C252" s="359"/>
      <c r="D252" s="222" t="s">
        <v>116</v>
      </c>
      <c r="E252" s="39"/>
      <c r="F252" s="39"/>
      <c r="G252" s="41"/>
      <c r="H252" s="164" t="s">
        <v>12</v>
      </c>
      <c r="I252" s="43"/>
      <c r="J252" s="43"/>
      <c r="K252" s="44"/>
      <c r="L252" s="44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4"/>
      <c r="N252" s="357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4"/>
      <c r="P252" s="44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spans="1:26" ht="20.25" hidden="1" customHeight="1">
      <c r="A253" s="358"/>
      <c r="B253" s="356"/>
      <c r="C253" s="359"/>
      <c r="D253" s="222" t="s">
        <v>100</v>
      </c>
      <c r="E253" s="39"/>
      <c r="F253" s="39"/>
      <c r="G253" s="41"/>
      <c r="H253" s="164" t="s">
        <v>12</v>
      </c>
      <c r="I253" s="43"/>
      <c r="J253" s="43"/>
      <c r="K253" s="44"/>
      <c r="L253" s="44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4"/>
      <c r="N253" s="357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4"/>
      <c r="P253" s="44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spans="1:26" ht="20.25" hidden="1" customHeight="1">
      <c r="A254" s="361"/>
      <c r="B254" s="362"/>
      <c r="C254" s="359" t="s">
        <v>16</v>
      </c>
      <c r="D254" s="266" t="s">
        <v>38</v>
      </c>
      <c r="E254" s="363"/>
      <c r="F254" s="363"/>
      <c r="G254" s="364"/>
      <c r="H254" s="365"/>
      <c r="I254" s="165"/>
      <c r="J254" s="43"/>
      <c r="K254" s="44"/>
      <c r="L254" s="44"/>
      <c r="M254" s="44"/>
      <c r="N254" s="44"/>
      <c r="O254" s="166"/>
      <c r="P254" s="166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0.25" hidden="1" customHeight="1">
      <c r="A255" s="361"/>
      <c r="B255" s="362"/>
      <c r="C255" s="362"/>
      <c r="D255" s="366" t="s">
        <v>117</v>
      </c>
      <c r="E255" s="367"/>
      <c r="F255" s="367"/>
      <c r="G255" s="368"/>
      <c r="H255" s="369" t="s">
        <v>35</v>
      </c>
      <c r="I255" s="43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0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4">
        <f ca="1">IF(I255&gt;0,J255*100/I255,0)</f>
        <v>100</v>
      </c>
      <c r="L255" s="44"/>
      <c r="M255" s="44"/>
      <c r="N255" s="44"/>
      <c r="O255" s="44"/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0.25" hidden="1" customHeight="1">
      <c r="A256" s="361"/>
      <c r="B256" s="362"/>
      <c r="C256" s="362"/>
      <c r="D256" s="371" t="s">
        <v>43</v>
      </c>
      <c r="E256" s="372"/>
      <c r="F256" s="367"/>
      <c r="G256" s="368"/>
      <c r="H256" s="369"/>
      <c r="I256" s="43"/>
      <c r="J256" s="43"/>
      <c r="K256" s="44"/>
      <c r="L256" s="44"/>
      <c r="M256" s="44"/>
      <c r="N256" s="44"/>
      <c r="O256" s="166"/>
      <c r="P256" s="166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0.25" hidden="1" customHeight="1">
      <c r="A257" s="361"/>
      <c r="B257" s="362"/>
      <c r="C257" s="362"/>
      <c r="D257" s="362"/>
      <c r="E257" s="373" t="s">
        <v>118</v>
      </c>
      <c r="F257" s="367"/>
      <c r="G257" s="368"/>
      <c r="H257" s="369" t="s">
        <v>35</v>
      </c>
      <c r="I257" s="43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0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4">
        <f t="shared" ref="K257:K258" ca="1" si="136">IF(I257&gt;0,J257*100/I257,0)</f>
        <v>100</v>
      </c>
      <c r="L257" s="44"/>
      <c r="M257" s="44"/>
      <c r="N257" s="44"/>
      <c r="O257" s="44"/>
      <c r="P257" s="44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0.25" hidden="1" customHeight="1">
      <c r="A258" s="361"/>
      <c r="B258" s="362"/>
      <c r="C258" s="362"/>
      <c r="D258" s="362"/>
      <c r="E258" s="267" t="s">
        <v>119</v>
      </c>
      <c r="F258" s="367"/>
      <c r="G258" s="368"/>
      <c r="H258" s="369" t="s">
        <v>66</v>
      </c>
      <c r="I258" s="43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0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4">
        <f t="shared" ca="1" si="136"/>
        <v>100</v>
      </c>
      <c r="L258" s="44"/>
      <c r="M258" s="44"/>
      <c r="N258" s="44"/>
      <c r="O258" s="44"/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0.25" customHeight="1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20.25" customHeight="1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t="shared" ref="I260:J260" ca="1" si="137">I271</f>
        <v>440</v>
      </c>
      <c r="J260" s="252">
        <f t="shared" ca="1" si="137"/>
        <v>440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20.25" customHeight="1">
      <c r="A261" s="146"/>
      <c r="B261" s="147"/>
      <c r="C261" s="148" t="s">
        <v>16</v>
      </c>
      <c r="D261" s="149" t="s">
        <v>17</v>
      </c>
      <c r="E261" s="147"/>
      <c r="F261" s="147"/>
      <c r="G261" s="150"/>
      <c r="H261" s="151" t="s">
        <v>12</v>
      </c>
      <c r="I261" s="152"/>
      <c r="J261" s="152"/>
      <c r="K261" s="153"/>
      <c r="L261" s="154">
        <f t="shared" ref="L261:N261" ca="1" si="138">L262+L263</f>
        <v>830000</v>
      </c>
      <c r="M261" s="154">
        <f t="shared" ca="1" si="138"/>
        <v>830000</v>
      </c>
      <c r="N261" s="154">
        <f t="shared" ca="1" si="138"/>
        <v>830000</v>
      </c>
      <c r="O261" s="154">
        <f t="shared" ref="O261:O269" ca="1" si="139">IF(L261&gt;0,N261*100/L261,0)</f>
        <v>100</v>
      </c>
      <c r="P261" s="154">
        <f t="shared" ref="P261:P269" ca="1" si="140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20.25" hidden="1" customHeight="1">
      <c r="A262" s="155"/>
      <c r="B262" s="39"/>
      <c r="C262" s="39"/>
      <c r="D262" s="39"/>
      <c r="E262" s="40" t="s">
        <v>18</v>
      </c>
      <c r="F262" s="39"/>
      <c r="G262" s="156"/>
      <c r="H262" s="157" t="s">
        <v>12</v>
      </c>
      <c r="I262" s="43"/>
      <c r="J262" s="43"/>
      <c r="K262" s="44"/>
      <c r="L262" s="44">
        <f t="shared" ref="L262:N262" si="141">L265+L268</f>
        <v>0</v>
      </c>
      <c r="M262" s="44">
        <f t="shared" si="141"/>
        <v>0</v>
      </c>
      <c r="N262" s="44">
        <f t="shared" si="141"/>
        <v>0</v>
      </c>
      <c r="O262" s="44">
        <f t="shared" si="139"/>
        <v>0</v>
      </c>
      <c r="P262" s="44">
        <f t="shared" si="140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0.25" hidden="1" customHeight="1">
      <c r="A263" s="155"/>
      <c r="B263" s="39"/>
      <c r="C263" s="39"/>
      <c r="D263" s="39"/>
      <c r="E263" s="40" t="s">
        <v>19</v>
      </c>
      <c r="F263" s="39"/>
      <c r="G263" s="156"/>
      <c r="H263" s="157" t="s">
        <v>12</v>
      </c>
      <c r="I263" s="43"/>
      <c r="J263" s="43"/>
      <c r="K263" s="44"/>
      <c r="L263" s="44">
        <f t="shared" ref="L263:N263" ca="1" si="142">L266+L269</f>
        <v>830000</v>
      </c>
      <c r="M263" s="44">
        <f t="shared" ca="1" si="142"/>
        <v>830000</v>
      </c>
      <c r="N263" s="44">
        <f t="shared" ca="1" si="142"/>
        <v>830000</v>
      </c>
      <c r="O263" s="44">
        <f t="shared" ca="1" si="139"/>
        <v>100</v>
      </c>
      <c r="P263" s="44">
        <f t="shared" ca="1" si="140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0.25" customHeight="1">
      <c r="A264" s="158"/>
      <c r="B264" s="32"/>
      <c r="C264" s="159"/>
      <c r="D264" s="33" t="s">
        <v>20</v>
      </c>
      <c r="E264" s="32"/>
      <c r="F264" s="32"/>
      <c r="G264" s="34"/>
      <c r="H264" s="160" t="s">
        <v>12</v>
      </c>
      <c r="I264" s="161"/>
      <c r="J264" s="161"/>
      <c r="K264" s="162"/>
      <c r="L264" s="37">
        <f t="shared" ref="L264:N264" ca="1" si="143">L265+L266</f>
        <v>830000</v>
      </c>
      <c r="M264" s="37">
        <f t="shared" ca="1" si="143"/>
        <v>830000</v>
      </c>
      <c r="N264" s="37">
        <f t="shared" ca="1" si="143"/>
        <v>830000</v>
      </c>
      <c r="O264" s="37">
        <f t="shared" ca="1" si="139"/>
        <v>100</v>
      </c>
      <c r="P264" s="37">
        <f t="shared" ca="1" si="140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20.25" hidden="1" customHeight="1">
      <c r="A265" s="155"/>
      <c r="B265" s="39"/>
      <c r="C265" s="163"/>
      <c r="D265" s="39"/>
      <c r="E265" s="40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44">
        <f t="shared" si="139"/>
        <v>0</v>
      </c>
      <c r="P265" s="44">
        <f t="shared" si="140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0.25" hidden="1" customHeight="1">
      <c r="A266" s="155"/>
      <c r="B266" s="39"/>
      <c r="C266" s="163"/>
      <c r="D266" s="39"/>
      <c r="E266" s="40" t="s">
        <v>37</v>
      </c>
      <c r="F266" s="39"/>
      <c r="G266" s="156"/>
      <c r="H266" s="164" t="s">
        <v>12</v>
      </c>
      <c r="I266" s="165"/>
      <c r="J266" s="165"/>
      <c r="K266" s="166"/>
      <c r="L266" s="44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4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"),830000)</f>
        <v>830000</v>
      </c>
      <c r="N266" s="44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"),830000)</f>
        <v>830000</v>
      </c>
      <c r="O266" s="44">
        <f t="shared" ca="1" si="139"/>
        <v>100</v>
      </c>
      <c r="P266" s="44">
        <f t="shared" ca="1" si="140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0.25" customHeight="1">
      <c r="A267" s="158"/>
      <c r="B267" s="32"/>
      <c r="C267" s="159"/>
      <c r="D267" s="33" t="s">
        <v>21</v>
      </c>
      <c r="E267" s="32"/>
      <c r="F267" s="32"/>
      <c r="G267" s="34"/>
      <c r="H267" s="167" t="s">
        <v>12</v>
      </c>
      <c r="I267" s="161"/>
      <c r="J267" s="161"/>
      <c r="K267" s="162"/>
      <c r="L267" s="37">
        <f t="shared" ref="L267:N267" ca="1" si="144">L268+L269</f>
        <v>0</v>
      </c>
      <c r="M267" s="37">
        <f t="shared" ca="1" si="144"/>
        <v>0</v>
      </c>
      <c r="N267" s="37">
        <f t="shared" ca="1" si="144"/>
        <v>0</v>
      </c>
      <c r="O267" s="37">
        <f t="shared" ca="1" si="139"/>
        <v>0</v>
      </c>
      <c r="P267" s="37">
        <f t="shared" ca="1" si="140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20.25" hidden="1" customHeight="1">
      <c r="A268" s="155"/>
      <c r="B268" s="39"/>
      <c r="C268" s="163"/>
      <c r="D268" s="39"/>
      <c r="E268" s="40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44">
        <f t="shared" si="139"/>
        <v>0</v>
      </c>
      <c r="P268" s="44">
        <f t="shared" si="140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0.25" hidden="1" customHeight="1">
      <c r="A269" s="155"/>
      <c r="B269" s="39"/>
      <c r="C269" s="163"/>
      <c r="D269" s="39"/>
      <c r="E269" s="40" t="s">
        <v>19</v>
      </c>
      <c r="F269" s="39"/>
      <c r="G269" s="156"/>
      <c r="H269" s="168" t="s">
        <v>12</v>
      </c>
      <c r="I269" s="165"/>
      <c r="J269" s="165"/>
      <c r="K269" s="166"/>
      <c r="L269" s="44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4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4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4">
        <f t="shared" ca="1" si="139"/>
        <v>0</v>
      </c>
      <c r="P269" s="44">
        <f t="shared" ca="1" si="140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0.25" customHeight="1">
      <c r="A270" s="169"/>
      <c r="B270" s="170"/>
      <c r="C270" s="159" t="s">
        <v>16</v>
      </c>
      <c r="D270" s="171" t="s">
        <v>38</v>
      </c>
      <c r="E270" s="172"/>
      <c r="F270" s="172"/>
      <c r="G270" s="173"/>
      <c r="H270" s="174"/>
      <c r="I270" s="161"/>
      <c r="J270" s="161"/>
      <c r="K270" s="162"/>
      <c r="L270" s="162"/>
      <c r="M270" s="162"/>
      <c r="N270" s="162"/>
      <c r="O270" s="162"/>
      <c r="P270" s="162"/>
    </row>
    <row r="271" spans="1:26" ht="20.25" customHeight="1">
      <c r="A271" s="169"/>
      <c r="B271" s="170"/>
      <c r="C271" s="170"/>
      <c r="D271" s="375" t="s">
        <v>124</v>
      </c>
      <c r="E271" s="177"/>
      <c r="F271" s="268"/>
      <c r="G271" s="178"/>
      <c r="H271" s="376" t="s">
        <v>35</v>
      </c>
      <c r="I271" s="36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2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"),440)</f>
        <v>440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20.25" hidden="1" customHeight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382">
        <v>0</v>
      </c>
      <c r="J272" s="382">
        <v>0</v>
      </c>
      <c r="K272" s="383">
        <v>0</v>
      </c>
      <c r="L272" s="384"/>
      <c r="M272" s="384"/>
      <c r="N272" s="384"/>
      <c r="O272" s="384"/>
      <c r="P272" s="384"/>
    </row>
    <row r="273" spans="1:26" ht="20.25" customHeight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20.25" customHeight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20.25" customHeight="1">
      <c r="A275" s="399"/>
      <c r="B275" s="400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45">I288</f>
        <v>150</v>
      </c>
      <c r="J275" s="405">
        <f t="shared" ca="1" si="145"/>
        <v>150</v>
      </c>
      <c r="K275" s="406">
        <f t="shared" ref="K275:K276" ca="1" si="146">IF(I275&gt;0,J275*100/I275,0)</f>
        <v>100</v>
      </c>
      <c r="L275" s="407"/>
      <c r="M275" s="407"/>
      <c r="N275" s="407"/>
      <c r="O275" s="407"/>
      <c r="P275" s="407"/>
    </row>
    <row r="276" spans="1:26" ht="20.25" customHeight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47">I287</f>
        <v>1500</v>
      </c>
      <c r="J276" s="405">
        <f t="shared" ca="1" si="147"/>
        <v>1500</v>
      </c>
      <c r="K276" s="406">
        <f t="shared" ca="1" si="146"/>
        <v>100</v>
      </c>
      <c r="L276" s="407"/>
      <c r="M276" s="407"/>
      <c r="N276" s="407"/>
      <c r="O276" s="407"/>
      <c r="P276" s="407"/>
    </row>
    <row r="277" spans="1:26" ht="20.25" customHeight="1">
      <c r="A277" s="146"/>
      <c r="B277" s="147"/>
      <c r="C277" s="148" t="s">
        <v>16</v>
      </c>
      <c r="D277" s="149" t="s">
        <v>17</v>
      </c>
      <c r="E277" s="147"/>
      <c r="F277" s="147"/>
      <c r="G277" s="150"/>
      <c r="H277" s="151" t="s">
        <v>12</v>
      </c>
      <c r="I277" s="152"/>
      <c r="J277" s="152"/>
      <c r="K277" s="153"/>
      <c r="L277" s="154">
        <f t="shared" ref="L277:N277" ca="1" si="148">L278+L279</f>
        <v>963020</v>
      </c>
      <c r="M277" s="154">
        <f t="shared" ca="1" si="148"/>
        <v>963020</v>
      </c>
      <c r="N277" s="154">
        <f t="shared" ca="1" si="148"/>
        <v>963020</v>
      </c>
      <c r="O277" s="154">
        <f t="shared" ref="O277:O285" ca="1" si="149">IF(L277&gt;0,N277*100/L277,0)</f>
        <v>100</v>
      </c>
      <c r="P277" s="154">
        <f t="shared" ref="P277:P285" ca="1" si="150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20.25" hidden="1" customHeight="1">
      <c r="A278" s="155"/>
      <c r="B278" s="39"/>
      <c r="C278" s="39"/>
      <c r="D278" s="39"/>
      <c r="E278" s="40" t="s">
        <v>18</v>
      </c>
      <c r="F278" s="39"/>
      <c r="G278" s="156"/>
      <c r="H278" s="157" t="s">
        <v>12</v>
      </c>
      <c r="I278" s="43"/>
      <c r="J278" s="43"/>
      <c r="K278" s="44"/>
      <c r="L278" s="44">
        <f t="shared" ref="L278:N278" si="151">L281+L284</f>
        <v>0</v>
      </c>
      <c r="M278" s="44">
        <f t="shared" si="151"/>
        <v>0</v>
      </c>
      <c r="N278" s="44">
        <f t="shared" si="151"/>
        <v>0</v>
      </c>
      <c r="O278" s="44">
        <f t="shared" si="149"/>
        <v>0</v>
      </c>
      <c r="P278" s="44">
        <f t="shared" si="150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0.25" hidden="1" customHeight="1">
      <c r="A279" s="155"/>
      <c r="B279" s="39"/>
      <c r="C279" s="39"/>
      <c r="D279" s="39"/>
      <c r="E279" s="40" t="s">
        <v>19</v>
      </c>
      <c r="F279" s="39"/>
      <c r="G279" s="156"/>
      <c r="H279" s="157" t="s">
        <v>12</v>
      </c>
      <c r="I279" s="43"/>
      <c r="J279" s="43"/>
      <c r="K279" s="44"/>
      <c r="L279" s="44">
        <f t="shared" ref="L279:N279" ca="1" si="152">L282+L285</f>
        <v>963020</v>
      </c>
      <c r="M279" s="44">
        <f t="shared" ca="1" si="152"/>
        <v>963020</v>
      </c>
      <c r="N279" s="44">
        <f t="shared" ca="1" si="152"/>
        <v>963020</v>
      </c>
      <c r="O279" s="44">
        <f t="shared" ca="1" si="149"/>
        <v>100</v>
      </c>
      <c r="P279" s="44">
        <f t="shared" ca="1" si="150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0.25" customHeight="1">
      <c r="A280" s="158"/>
      <c r="B280" s="32"/>
      <c r="C280" s="159"/>
      <c r="D280" s="33" t="s">
        <v>20</v>
      </c>
      <c r="E280" s="32"/>
      <c r="F280" s="32"/>
      <c r="G280" s="34"/>
      <c r="H280" s="160" t="s">
        <v>12</v>
      </c>
      <c r="I280" s="161"/>
      <c r="J280" s="161"/>
      <c r="K280" s="162"/>
      <c r="L280" s="37">
        <f t="shared" ref="L280:N280" ca="1" si="153">L281+L282</f>
        <v>963020</v>
      </c>
      <c r="M280" s="37">
        <f t="shared" ca="1" si="153"/>
        <v>963020</v>
      </c>
      <c r="N280" s="37">
        <f t="shared" ca="1" si="153"/>
        <v>963020</v>
      </c>
      <c r="O280" s="37">
        <f t="shared" ca="1" si="149"/>
        <v>100</v>
      </c>
      <c r="P280" s="37">
        <f t="shared" ca="1" si="150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20.25" hidden="1" customHeight="1">
      <c r="A281" s="155"/>
      <c r="B281" s="39"/>
      <c r="C281" s="163"/>
      <c r="D281" s="39"/>
      <c r="E281" s="40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44">
        <f t="shared" si="149"/>
        <v>0</v>
      </c>
      <c r="P281" s="44">
        <f t="shared" si="150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0.25" hidden="1" customHeight="1">
      <c r="A282" s="155"/>
      <c r="B282" s="39"/>
      <c r="C282" s="163"/>
      <c r="D282" s="39"/>
      <c r="E282" s="40" t="s">
        <v>37</v>
      </c>
      <c r="F282" s="39"/>
      <c r="G282" s="156"/>
      <c r="H282" s="164" t="s">
        <v>12</v>
      </c>
      <c r="I282" s="165"/>
      <c r="J282" s="165"/>
      <c r="K282" s="166"/>
      <c r="L282" s="44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4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"),963020)</f>
        <v>963020</v>
      </c>
      <c r="N282" s="44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"),963020)</f>
        <v>963020</v>
      </c>
      <c r="O282" s="44">
        <f t="shared" ca="1" si="149"/>
        <v>100</v>
      </c>
      <c r="P282" s="44">
        <f t="shared" ca="1" si="150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0.25" customHeight="1">
      <c r="A283" s="158"/>
      <c r="B283" s="32"/>
      <c r="C283" s="159"/>
      <c r="D283" s="33" t="s">
        <v>21</v>
      </c>
      <c r="E283" s="32"/>
      <c r="F283" s="32"/>
      <c r="G283" s="34"/>
      <c r="H283" s="167" t="s">
        <v>12</v>
      </c>
      <c r="I283" s="161"/>
      <c r="J283" s="161"/>
      <c r="K283" s="162"/>
      <c r="L283" s="37">
        <f t="shared" ref="L283:N283" ca="1" si="154">L284+L285</f>
        <v>0</v>
      </c>
      <c r="M283" s="37">
        <f t="shared" ca="1" si="154"/>
        <v>0</v>
      </c>
      <c r="N283" s="37">
        <f t="shared" ca="1" si="154"/>
        <v>0</v>
      </c>
      <c r="O283" s="37">
        <f t="shared" ca="1" si="149"/>
        <v>0</v>
      </c>
      <c r="P283" s="37">
        <f t="shared" ca="1" si="150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20.25" hidden="1" customHeight="1">
      <c r="A284" s="155"/>
      <c r="B284" s="39"/>
      <c r="C284" s="163"/>
      <c r="D284" s="39"/>
      <c r="E284" s="40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44">
        <f t="shared" si="149"/>
        <v>0</v>
      </c>
      <c r="P284" s="44">
        <f t="shared" si="150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0.25" hidden="1" customHeight="1">
      <c r="A285" s="155"/>
      <c r="B285" s="39"/>
      <c r="C285" s="163"/>
      <c r="D285" s="39"/>
      <c r="E285" s="40" t="s">
        <v>19</v>
      </c>
      <c r="F285" s="39"/>
      <c r="G285" s="156"/>
      <c r="H285" s="168" t="s">
        <v>12</v>
      </c>
      <c r="I285" s="165"/>
      <c r="J285" s="165"/>
      <c r="K285" s="166"/>
      <c r="L285" s="44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4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4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4">
        <f t="shared" ca="1" si="149"/>
        <v>0</v>
      </c>
      <c r="P285" s="44">
        <f t="shared" ca="1" si="150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0.25" customHeight="1">
      <c r="A286" s="169"/>
      <c r="B286" s="170"/>
      <c r="C286" s="163" t="s">
        <v>16</v>
      </c>
      <c r="D286" s="171" t="s">
        <v>38</v>
      </c>
      <c r="E286" s="172"/>
      <c r="F286" s="172"/>
      <c r="G286" s="173"/>
      <c r="H286" s="174"/>
      <c r="I286" s="161"/>
      <c r="J286" s="161"/>
      <c r="K286" s="162"/>
      <c r="L286" s="162"/>
      <c r="M286" s="162"/>
      <c r="N286" s="162"/>
      <c r="O286" s="162"/>
      <c r="P286" s="162"/>
    </row>
    <row r="287" spans="1:26" ht="20.25" customHeight="1">
      <c r="A287" s="169"/>
      <c r="B287" s="170"/>
      <c r="C287" s="170"/>
      <c r="D287" s="409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2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"),1500)</f>
        <v>1500</v>
      </c>
      <c r="K287" s="162">
        <f t="shared" ref="K287:K288" ca="1" si="155">IF(I287&gt;0,J287*100/I287,0)</f>
        <v>100</v>
      </c>
      <c r="L287" s="162"/>
      <c r="M287" s="162"/>
      <c r="N287" s="162"/>
      <c r="O287" s="162"/>
      <c r="P287" s="162"/>
    </row>
    <row r="288" spans="1:26" ht="20.25" customHeight="1">
      <c r="A288" s="169"/>
      <c r="B288" s="170"/>
      <c r="C288" s="170"/>
      <c r="D288" s="409" t="s">
        <v>130</v>
      </c>
      <c r="E288" s="170"/>
      <c r="F288" s="177"/>
      <c r="G288" s="178"/>
      <c r="H288" s="179" t="s">
        <v>35</v>
      </c>
      <c r="I288" s="193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3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"),150)</f>
        <v>150</v>
      </c>
      <c r="K288" s="410">
        <f t="shared" ca="1" si="155"/>
        <v>100</v>
      </c>
      <c r="L288" s="162"/>
      <c r="M288" s="162"/>
      <c r="N288" s="162"/>
      <c r="O288" s="162"/>
      <c r="P288" s="162"/>
    </row>
    <row r="289" spans="1:26" ht="20.25" customHeight="1">
      <c r="A289" s="169"/>
      <c r="B289" s="170"/>
      <c r="C289" s="170"/>
      <c r="D289" s="411"/>
      <c r="E289" s="412" t="s">
        <v>131</v>
      </c>
      <c r="F289" s="177"/>
      <c r="G289" s="178"/>
      <c r="H289" s="181"/>
      <c r="I289" s="183"/>
      <c r="J289" s="269"/>
      <c r="K289" s="162"/>
      <c r="L289" s="162"/>
      <c r="M289" s="162"/>
      <c r="N289" s="162"/>
      <c r="O289" s="162"/>
      <c r="P289" s="162"/>
    </row>
    <row r="290" spans="1:26" ht="20.25" customHeight="1">
      <c r="A290" s="169"/>
      <c r="B290" s="170"/>
      <c r="C290" s="170"/>
      <c r="D290" s="411"/>
      <c r="E290" s="409" t="s">
        <v>132</v>
      </c>
      <c r="F290" s="177"/>
      <c r="G290" s="178"/>
      <c r="H290" s="181" t="s">
        <v>35</v>
      </c>
      <c r="I290" s="183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2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2">
        <f t="shared" ref="K290:K291" ca="1" si="156">IF(I290&gt;0,J290*100/I290,0)</f>
        <v>100</v>
      </c>
      <c r="L290" s="162"/>
      <c r="M290" s="162"/>
      <c r="N290" s="162"/>
      <c r="O290" s="162"/>
      <c r="P290" s="162"/>
    </row>
    <row r="291" spans="1:26" ht="20.25" customHeight="1">
      <c r="A291" s="169"/>
      <c r="B291" s="170"/>
      <c r="C291" s="170"/>
      <c r="D291" s="177"/>
      <c r="E291" s="409" t="s">
        <v>133</v>
      </c>
      <c r="F291" s="177"/>
      <c r="G291" s="178"/>
      <c r="H291" s="181" t="s">
        <v>35</v>
      </c>
      <c r="I291" s="183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2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2">
        <f t="shared" ca="1" si="156"/>
        <v>100</v>
      </c>
      <c r="L291" s="162"/>
      <c r="M291" s="162"/>
      <c r="N291" s="162"/>
      <c r="O291" s="162"/>
      <c r="P291" s="162"/>
    </row>
    <row r="292" spans="1:26" ht="20.25" customHeight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20.25" customHeight="1">
      <c r="A293" s="169"/>
      <c r="B293" s="170"/>
      <c r="C293" s="170"/>
      <c r="D293" s="411"/>
      <c r="E293" s="409" t="s">
        <v>135</v>
      </c>
      <c r="F293" s="177"/>
      <c r="G293" s="178"/>
      <c r="H293" s="181" t="s">
        <v>35</v>
      </c>
      <c r="I293" s="183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2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"),150)</f>
        <v>150</v>
      </c>
      <c r="K293" s="162">
        <f t="shared" ref="K293:K294" ca="1" si="157">IF(I293&gt;0,J293*100/I293,0)</f>
        <v>100</v>
      </c>
      <c r="L293" s="162"/>
      <c r="M293" s="162"/>
      <c r="N293" s="162"/>
      <c r="O293" s="162"/>
      <c r="P293" s="162"/>
    </row>
    <row r="294" spans="1:26" ht="20.25" customHeight="1">
      <c r="A294" s="377"/>
      <c r="B294" s="378"/>
      <c r="C294" s="378"/>
      <c r="D294" s="380"/>
      <c r="E294" s="420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3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"),150)</f>
        <v>150</v>
      </c>
      <c r="K294" s="384">
        <f t="shared" ca="1" si="157"/>
        <v>100</v>
      </c>
      <c r="L294" s="384"/>
      <c r="M294" s="384"/>
      <c r="N294" s="384"/>
      <c r="O294" s="384"/>
      <c r="P294" s="384"/>
    </row>
    <row r="295" spans="1:26" ht="20.25" customHeight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20.25" customHeight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20.25" customHeight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58">I309</f>
        <v>225</v>
      </c>
      <c r="J297" s="443">
        <f t="shared" ca="1" si="158"/>
        <v>225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20.25" customHeight="1">
      <c r="A298" s="146"/>
      <c r="B298" s="147"/>
      <c r="C298" s="148" t="s">
        <v>16</v>
      </c>
      <c r="D298" s="149" t="s">
        <v>17</v>
      </c>
      <c r="E298" s="147"/>
      <c r="F298" s="147"/>
      <c r="G298" s="150"/>
      <c r="H298" s="151" t="s">
        <v>12</v>
      </c>
      <c r="I298" s="152"/>
      <c r="J298" s="152"/>
      <c r="K298" s="153"/>
      <c r="L298" s="154">
        <f t="shared" ref="L298:N298" ca="1" si="159">L299+L300</f>
        <v>2220000</v>
      </c>
      <c r="M298" s="154">
        <f t="shared" ca="1" si="159"/>
        <v>2284790</v>
      </c>
      <c r="N298" s="154">
        <f t="shared" ca="1" si="159"/>
        <v>2284790</v>
      </c>
      <c r="O298" s="154">
        <f t="shared" ref="O298:O306" ca="1" si="160">IF(L298&gt;0,N298*100/L298,0)</f>
        <v>102.91846846846848</v>
      </c>
      <c r="P298" s="154">
        <f t="shared" ref="P298:P306" ca="1" si="16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20.25" hidden="1" customHeight="1">
      <c r="A299" s="155"/>
      <c r="B299" s="39"/>
      <c r="C299" s="39"/>
      <c r="D299" s="39"/>
      <c r="E299" s="40" t="s">
        <v>18</v>
      </c>
      <c r="F299" s="39"/>
      <c r="G299" s="156"/>
      <c r="H299" s="157" t="s">
        <v>12</v>
      </c>
      <c r="I299" s="43"/>
      <c r="J299" s="43"/>
      <c r="K299" s="44"/>
      <c r="L299" s="44">
        <f t="shared" ref="L299:N299" si="162">L302+L305</f>
        <v>0</v>
      </c>
      <c r="M299" s="44">
        <f t="shared" si="162"/>
        <v>0</v>
      </c>
      <c r="N299" s="44">
        <f t="shared" si="162"/>
        <v>0</v>
      </c>
      <c r="O299" s="44">
        <f t="shared" si="160"/>
        <v>0</v>
      </c>
      <c r="P299" s="44">
        <f t="shared" si="16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0.25" hidden="1" customHeight="1">
      <c r="A300" s="155"/>
      <c r="B300" s="39"/>
      <c r="C300" s="39"/>
      <c r="D300" s="39"/>
      <c r="E300" s="40" t="s">
        <v>19</v>
      </c>
      <c r="F300" s="39"/>
      <c r="G300" s="156"/>
      <c r="H300" s="157" t="s">
        <v>12</v>
      </c>
      <c r="I300" s="43"/>
      <c r="J300" s="43"/>
      <c r="K300" s="44"/>
      <c r="L300" s="44">
        <f t="shared" ref="L300:N300" ca="1" si="163">L303+L306</f>
        <v>2220000</v>
      </c>
      <c r="M300" s="44">
        <f t="shared" ca="1" si="163"/>
        <v>2284790</v>
      </c>
      <c r="N300" s="44">
        <f t="shared" ca="1" si="163"/>
        <v>2284790</v>
      </c>
      <c r="O300" s="44">
        <f t="shared" ca="1" si="160"/>
        <v>102.91846846846848</v>
      </c>
      <c r="P300" s="44">
        <f t="shared" ca="1" si="16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0.25" customHeight="1">
      <c r="A301" s="158"/>
      <c r="B301" s="32"/>
      <c r="C301" s="159"/>
      <c r="D301" s="33" t="s">
        <v>20</v>
      </c>
      <c r="E301" s="32"/>
      <c r="F301" s="32"/>
      <c r="G301" s="34"/>
      <c r="H301" s="160" t="s">
        <v>12</v>
      </c>
      <c r="I301" s="161"/>
      <c r="J301" s="161"/>
      <c r="K301" s="162"/>
      <c r="L301" s="37">
        <f t="shared" ref="L301:N301" ca="1" si="164">L302+L303</f>
        <v>2220000</v>
      </c>
      <c r="M301" s="37">
        <f t="shared" ca="1" si="164"/>
        <v>2284790</v>
      </c>
      <c r="N301" s="37">
        <f t="shared" ca="1" si="164"/>
        <v>2284790</v>
      </c>
      <c r="O301" s="37">
        <f t="shared" ca="1" si="160"/>
        <v>102.91846846846848</v>
      </c>
      <c r="P301" s="37">
        <f t="shared" ca="1" si="16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20.25" hidden="1" customHeight="1">
      <c r="A302" s="155"/>
      <c r="B302" s="39"/>
      <c r="C302" s="163"/>
      <c r="D302" s="39"/>
      <c r="E302" s="40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44">
        <f t="shared" si="160"/>
        <v>0</v>
      </c>
      <c r="P302" s="44">
        <f t="shared" si="16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0.25" hidden="1" customHeight="1">
      <c r="A303" s="155"/>
      <c r="B303" s="39"/>
      <c r="C303" s="163"/>
      <c r="D303" s="39"/>
      <c r="E303" s="40" t="s">
        <v>37</v>
      </c>
      <c r="F303" s="39"/>
      <c r="G303" s="156"/>
      <c r="H303" s="164" t="s">
        <v>12</v>
      </c>
      <c r="I303" s="165"/>
      <c r="J303" s="165"/>
      <c r="K303" s="166"/>
      <c r="L303" s="44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4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"),2284790)</f>
        <v>2284790</v>
      </c>
      <c r="N303" s="44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"),2284790)</f>
        <v>2284790</v>
      </c>
      <c r="O303" s="44">
        <f t="shared" ca="1" si="160"/>
        <v>102.91846846846848</v>
      </c>
      <c r="P303" s="44">
        <f t="shared" ca="1" si="16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0.25" customHeight="1">
      <c r="A304" s="158"/>
      <c r="B304" s="32"/>
      <c r="C304" s="159"/>
      <c r="D304" s="33" t="s">
        <v>21</v>
      </c>
      <c r="E304" s="32"/>
      <c r="F304" s="32"/>
      <c r="G304" s="34"/>
      <c r="H304" s="167" t="s">
        <v>12</v>
      </c>
      <c r="I304" s="161"/>
      <c r="J304" s="161"/>
      <c r="K304" s="162"/>
      <c r="L304" s="37">
        <f t="shared" ref="L304:N304" ca="1" si="165">L305+L306</f>
        <v>0</v>
      </c>
      <c r="M304" s="37">
        <f t="shared" ca="1" si="165"/>
        <v>0</v>
      </c>
      <c r="N304" s="37">
        <f t="shared" ca="1" si="165"/>
        <v>0</v>
      </c>
      <c r="O304" s="37">
        <f t="shared" ca="1" si="160"/>
        <v>0</v>
      </c>
      <c r="P304" s="37">
        <f t="shared" ca="1" si="16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20.25" hidden="1" customHeight="1">
      <c r="A305" s="155"/>
      <c r="B305" s="39"/>
      <c r="C305" s="163"/>
      <c r="D305" s="39"/>
      <c r="E305" s="40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44">
        <f t="shared" si="160"/>
        <v>0</v>
      </c>
      <c r="P305" s="44">
        <f t="shared" si="16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0.25" hidden="1" customHeight="1">
      <c r="A306" s="155"/>
      <c r="B306" s="39"/>
      <c r="C306" s="163"/>
      <c r="D306" s="39"/>
      <c r="E306" s="40" t="s">
        <v>19</v>
      </c>
      <c r="F306" s="39"/>
      <c r="G306" s="156"/>
      <c r="H306" s="168" t="s">
        <v>12</v>
      </c>
      <c r="I306" s="165"/>
      <c r="J306" s="165"/>
      <c r="K306" s="166"/>
      <c r="L306" s="44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4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4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4">
        <f t="shared" ca="1" si="160"/>
        <v>0</v>
      </c>
      <c r="P306" s="44">
        <f t="shared" ca="1" si="16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0.25" customHeight="1">
      <c r="A307" s="169"/>
      <c r="B307" s="170"/>
      <c r="C307" s="163" t="s">
        <v>16</v>
      </c>
      <c r="D307" s="171" t="s">
        <v>38</v>
      </c>
      <c r="E307" s="172"/>
      <c r="F307" s="172"/>
      <c r="G307" s="173"/>
      <c r="H307" s="174"/>
      <c r="I307" s="36"/>
      <c r="J307" s="36"/>
      <c r="K307" s="37"/>
      <c r="L307" s="37"/>
      <c r="M307" s="37"/>
      <c r="N307" s="37"/>
      <c r="O307" s="37"/>
      <c r="P307" s="37"/>
    </row>
    <row r="308" spans="1:26" ht="20.25" customHeight="1">
      <c r="A308" s="169"/>
      <c r="B308" s="170"/>
      <c r="C308" s="170"/>
      <c r="D308" s="446" t="s">
        <v>140</v>
      </c>
      <c r="E308" s="176"/>
      <c r="F308" s="176"/>
      <c r="G308" s="178"/>
      <c r="H308" s="181"/>
      <c r="I308" s="36"/>
      <c r="J308" s="182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"),12)</f>
        <v>12</v>
      </c>
      <c r="K308" s="37"/>
      <c r="L308" s="37"/>
      <c r="M308" s="37"/>
      <c r="N308" s="37"/>
      <c r="O308" s="37"/>
      <c r="P308" s="37"/>
    </row>
    <row r="309" spans="1:26" ht="20.25" customHeight="1">
      <c r="A309" s="169"/>
      <c r="B309" s="170"/>
      <c r="C309" s="170"/>
      <c r="D309" s="180" t="s">
        <v>141</v>
      </c>
      <c r="E309" s="176"/>
      <c r="F309" s="176"/>
      <c r="G309" s="178"/>
      <c r="H309" s="181" t="s">
        <v>35</v>
      </c>
      <c r="I309" s="36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2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7">
        <f t="shared" ref="K309:K312" ca="1" si="166">IF(I309&gt;0,J309*100/I309,0)</f>
        <v>100</v>
      </c>
      <c r="L309" s="37"/>
      <c r="M309" s="37"/>
      <c r="N309" s="37"/>
      <c r="O309" s="37"/>
      <c r="P309" s="37"/>
    </row>
    <row r="310" spans="1:26" ht="20.25" customHeight="1">
      <c r="A310" s="169"/>
      <c r="B310" s="170"/>
      <c r="C310" s="170"/>
      <c r="D310" s="446" t="s">
        <v>142</v>
      </c>
      <c r="E310" s="176"/>
      <c r="F310" s="176"/>
      <c r="G310" s="178"/>
      <c r="H310" s="181" t="s">
        <v>35</v>
      </c>
      <c r="I310" s="36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2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"),225)</f>
        <v>225</v>
      </c>
      <c r="K310" s="37">
        <f t="shared" ca="1" si="166"/>
        <v>100</v>
      </c>
      <c r="L310" s="37"/>
      <c r="M310" s="37"/>
      <c r="N310" s="37"/>
      <c r="O310" s="37"/>
      <c r="P310" s="37"/>
    </row>
    <row r="311" spans="1:26" ht="20.25" customHeight="1">
      <c r="A311" s="169"/>
      <c r="B311" s="170"/>
      <c r="C311" s="170"/>
      <c r="D311" s="446" t="s">
        <v>59</v>
      </c>
      <c r="E311" s="176"/>
      <c r="F311" s="176"/>
      <c r="G311" s="178"/>
      <c r="H311" s="447" t="s">
        <v>35</v>
      </c>
      <c r="I311" s="36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2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"),225)</f>
        <v>225</v>
      </c>
      <c r="K311" s="37">
        <f t="shared" ca="1" si="166"/>
        <v>100</v>
      </c>
      <c r="L311" s="37"/>
      <c r="M311" s="37"/>
      <c r="N311" s="37"/>
      <c r="O311" s="37"/>
      <c r="P311" s="37"/>
    </row>
    <row r="312" spans="1:26" ht="20.25" customHeight="1">
      <c r="A312" s="169"/>
      <c r="B312" s="170"/>
      <c r="C312" s="170"/>
      <c r="D312" s="446" t="s">
        <v>143</v>
      </c>
      <c r="E312" s="176"/>
      <c r="F312" s="176"/>
      <c r="G312" s="178"/>
      <c r="H312" s="181" t="s">
        <v>35</v>
      </c>
      <c r="I312" s="36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2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"),43)</f>
        <v>43</v>
      </c>
      <c r="K312" s="37">
        <f t="shared" ca="1" si="166"/>
        <v>95.555555555555557</v>
      </c>
      <c r="L312" s="37"/>
      <c r="M312" s="37"/>
      <c r="N312" s="37"/>
      <c r="O312" s="37"/>
      <c r="P312" s="37"/>
    </row>
    <row r="313" spans="1:26" ht="20.25" customHeight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20.25" customHeight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67">I325</f>
        <v>5</v>
      </c>
      <c r="J314" s="443">
        <f t="shared" ca="1" si="167"/>
        <v>5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20.25" customHeight="1">
      <c r="A315" s="146"/>
      <c r="B315" s="147"/>
      <c r="C315" s="148" t="s">
        <v>16</v>
      </c>
      <c r="D315" s="149" t="s">
        <v>17</v>
      </c>
      <c r="E315" s="147"/>
      <c r="F315" s="147"/>
      <c r="G315" s="150"/>
      <c r="H315" s="151" t="s">
        <v>12</v>
      </c>
      <c r="I315" s="152"/>
      <c r="J315" s="152"/>
      <c r="K315" s="153"/>
      <c r="L315" s="154">
        <f t="shared" ref="L315:N315" ca="1" si="168">L316+L317</f>
        <v>459000</v>
      </c>
      <c r="M315" s="154">
        <f t="shared" ca="1" si="168"/>
        <v>459000</v>
      </c>
      <c r="N315" s="154">
        <f t="shared" ca="1" si="168"/>
        <v>459000</v>
      </c>
      <c r="O315" s="154">
        <f t="shared" ref="O315:O323" ca="1" si="169">IF(L315&gt;0,N315*100/L315,0)</f>
        <v>100</v>
      </c>
      <c r="P315" s="154">
        <f t="shared" ref="P315:P323" ca="1" si="170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20.25" hidden="1" customHeight="1">
      <c r="A316" s="155"/>
      <c r="B316" s="39"/>
      <c r="C316" s="39"/>
      <c r="D316" s="39"/>
      <c r="E316" s="40" t="s">
        <v>18</v>
      </c>
      <c r="F316" s="39"/>
      <c r="G316" s="156"/>
      <c r="H316" s="157" t="s">
        <v>12</v>
      </c>
      <c r="I316" s="43"/>
      <c r="J316" s="43"/>
      <c r="K316" s="44"/>
      <c r="L316" s="44">
        <f t="shared" ref="L316:N316" si="171">L319+L322</f>
        <v>0</v>
      </c>
      <c r="M316" s="44">
        <f t="shared" si="171"/>
        <v>0</v>
      </c>
      <c r="N316" s="44">
        <f t="shared" si="171"/>
        <v>0</v>
      </c>
      <c r="O316" s="44">
        <f t="shared" si="169"/>
        <v>0</v>
      </c>
      <c r="P316" s="44">
        <f t="shared" si="170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0.25" hidden="1" customHeight="1">
      <c r="A317" s="155"/>
      <c r="B317" s="39"/>
      <c r="C317" s="39"/>
      <c r="D317" s="39"/>
      <c r="E317" s="40" t="s">
        <v>19</v>
      </c>
      <c r="F317" s="39"/>
      <c r="G317" s="156"/>
      <c r="H317" s="157" t="s">
        <v>12</v>
      </c>
      <c r="I317" s="43"/>
      <c r="J317" s="43"/>
      <c r="K317" s="44"/>
      <c r="L317" s="44">
        <f t="shared" ref="L317:N317" ca="1" si="172">L320+L323</f>
        <v>459000</v>
      </c>
      <c r="M317" s="44">
        <f t="shared" ca="1" si="172"/>
        <v>459000</v>
      </c>
      <c r="N317" s="44">
        <f t="shared" ca="1" si="172"/>
        <v>459000</v>
      </c>
      <c r="O317" s="44">
        <f t="shared" ca="1" si="169"/>
        <v>100</v>
      </c>
      <c r="P317" s="44">
        <f t="shared" ca="1" si="170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0.25" customHeight="1">
      <c r="A318" s="158"/>
      <c r="B318" s="32"/>
      <c r="C318" s="159"/>
      <c r="D318" s="33" t="s">
        <v>20</v>
      </c>
      <c r="E318" s="32"/>
      <c r="F318" s="32"/>
      <c r="G318" s="34"/>
      <c r="H318" s="160" t="s">
        <v>12</v>
      </c>
      <c r="I318" s="161"/>
      <c r="J318" s="161"/>
      <c r="K318" s="162"/>
      <c r="L318" s="37">
        <f t="shared" ref="L318:N318" ca="1" si="173">L319+L320</f>
        <v>459000</v>
      </c>
      <c r="M318" s="37">
        <f t="shared" ca="1" si="173"/>
        <v>459000</v>
      </c>
      <c r="N318" s="37">
        <f t="shared" ca="1" si="173"/>
        <v>459000</v>
      </c>
      <c r="O318" s="37">
        <f t="shared" ca="1" si="169"/>
        <v>100</v>
      </c>
      <c r="P318" s="37">
        <f t="shared" ca="1" si="170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20.25" hidden="1" customHeight="1">
      <c r="A319" s="155"/>
      <c r="B319" s="39"/>
      <c r="C319" s="163"/>
      <c r="D319" s="39"/>
      <c r="E319" s="40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44">
        <f t="shared" si="169"/>
        <v>0</v>
      </c>
      <c r="P319" s="44">
        <f t="shared" si="170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0.25" hidden="1" customHeight="1">
      <c r="A320" s="155"/>
      <c r="B320" s="39"/>
      <c r="C320" s="163"/>
      <c r="D320" s="39"/>
      <c r="E320" s="40" t="s">
        <v>37</v>
      </c>
      <c r="F320" s="39"/>
      <c r="G320" s="156"/>
      <c r="H320" s="164" t="s">
        <v>12</v>
      </c>
      <c r="I320" s="165"/>
      <c r="J320" s="165"/>
      <c r="K320" s="166"/>
      <c r="L320" s="44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4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"),459000)</f>
        <v>459000</v>
      </c>
      <c r="N320" s="44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"),459000)</f>
        <v>459000</v>
      </c>
      <c r="O320" s="44">
        <f t="shared" ca="1" si="169"/>
        <v>100</v>
      </c>
      <c r="P320" s="44">
        <f t="shared" ca="1" si="170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0.25" customHeight="1">
      <c r="A321" s="158"/>
      <c r="B321" s="32"/>
      <c r="C321" s="159"/>
      <c r="D321" s="33" t="s">
        <v>21</v>
      </c>
      <c r="E321" s="32"/>
      <c r="F321" s="32"/>
      <c r="G321" s="34"/>
      <c r="H321" s="167" t="s">
        <v>12</v>
      </c>
      <c r="I321" s="161"/>
      <c r="J321" s="161"/>
      <c r="K321" s="162"/>
      <c r="L321" s="37">
        <f t="shared" ref="L321:N321" ca="1" si="174">L322+L323</f>
        <v>0</v>
      </c>
      <c r="M321" s="37">
        <f t="shared" ca="1" si="174"/>
        <v>0</v>
      </c>
      <c r="N321" s="37">
        <f t="shared" ca="1" si="174"/>
        <v>0</v>
      </c>
      <c r="O321" s="37">
        <f t="shared" ca="1" si="169"/>
        <v>0</v>
      </c>
      <c r="P321" s="37">
        <f t="shared" ca="1" si="170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20.25" hidden="1" customHeight="1">
      <c r="A322" s="155"/>
      <c r="B322" s="39"/>
      <c r="C322" s="163"/>
      <c r="D322" s="39"/>
      <c r="E322" s="40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44">
        <f t="shared" si="169"/>
        <v>0</v>
      </c>
      <c r="P322" s="44">
        <f t="shared" si="170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0.25" hidden="1" customHeight="1">
      <c r="A323" s="155"/>
      <c r="B323" s="39"/>
      <c r="C323" s="163"/>
      <c r="D323" s="39"/>
      <c r="E323" s="40" t="s">
        <v>19</v>
      </c>
      <c r="F323" s="39"/>
      <c r="G323" s="156"/>
      <c r="H323" s="168" t="s">
        <v>12</v>
      </c>
      <c r="I323" s="165"/>
      <c r="J323" s="165"/>
      <c r="K323" s="166"/>
      <c r="L323" s="44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4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4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4">
        <f t="shared" ca="1" si="169"/>
        <v>0</v>
      </c>
      <c r="P323" s="44">
        <f t="shared" ca="1" si="170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0.25" customHeight="1">
      <c r="A324" s="169"/>
      <c r="B324" s="170"/>
      <c r="C324" s="163" t="s">
        <v>16</v>
      </c>
      <c r="D324" s="171" t="s">
        <v>38</v>
      </c>
      <c r="E324" s="172"/>
      <c r="F324" s="172"/>
      <c r="G324" s="173"/>
      <c r="H324" s="174"/>
      <c r="I324" s="161"/>
      <c r="J324" s="36"/>
      <c r="K324" s="37"/>
      <c r="L324" s="37"/>
      <c r="M324" s="37"/>
      <c r="N324" s="37"/>
      <c r="O324" s="162"/>
      <c r="P324" s="162"/>
    </row>
    <row r="325" spans="1:26" ht="20.25" customHeight="1">
      <c r="A325" s="169"/>
      <c r="B325" s="170"/>
      <c r="C325" s="170"/>
      <c r="D325" s="175" t="s">
        <v>147</v>
      </c>
      <c r="E325" s="177"/>
      <c r="F325" s="180"/>
      <c r="G325" s="178"/>
      <c r="H325" s="35" t="s">
        <v>146</v>
      </c>
      <c r="I325" s="36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2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7">
        <f ca="1">IF(I325&gt;0,J325*100/I325,0)</f>
        <v>100</v>
      </c>
      <c r="L325" s="37"/>
      <c r="M325" s="37"/>
      <c r="N325" s="37"/>
      <c r="O325" s="162"/>
      <c r="P325" s="162"/>
    </row>
    <row r="326" spans="1:26" ht="20.25" customHeight="1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20.25" customHeight="1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3">
        <f ca="1">J338+J341+J342+J343</f>
        <v>63861</v>
      </c>
      <c r="K327" s="444">
        <f ca="1">IF(I327&gt;0,J327*100/I327,0)</f>
        <v>219.45360824742269</v>
      </c>
      <c r="L327" s="445"/>
      <c r="M327" s="445"/>
      <c r="N327" s="445"/>
      <c r="O327" s="445"/>
      <c r="P327" s="445"/>
    </row>
    <row r="328" spans="1:26" ht="20.25" customHeight="1">
      <c r="A328" s="146"/>
      <c r="B328" s="147"/>
      <c r="C328" s="148" t="s">
        <v>16</v>
      </c>
      <c r="D328" s="149" t="s">
        <v>17</v>
      </c>
      <c r="E328" s="147"/>
      <c r="F328" s="147"/>
      <c r="G328" s="150"/>
      <c r="H328" s="151" t="s">
        <v>12</v>
      </c>
      <c r="I328" s="152"/>
      <c r="J328" s="152"/>
      <c r="K328" s="153"/>
      <c r="L328" s="154">
        <f t="shared" ref="L328:N328" ca="1" si="175">L329+L330</f>
        <v>7746800</v>
      </c>
      <c r="M328" s="154">
        <f t="shared" ca="1" si="175"/>
        <v>7762300</v>
      </c>
      <c r="N328" s="154">
        <f t="shared" ca="1" si="175"/>
        <v>7762289.2999999998</v>
      </c>
      <c r="O328" s="154">
        <f t="shared" ref="O328:O336" ca="1" si="176">IF(L328&gt;0,N328*100/L328,0)</f>
        <v>100.1999444932101</v>
      </c>
      <c r="P328" s="154">
        <f t="shared" ref="P328:P336" ca="1" si="177">IF(M328&gt;0,N328*100/M328,0)</f>
        <v>99.999862154258409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20.25" hidden="1" customHeight="1">
      <c r="A329" s="155"/>
      <c r="B329" s="39"/>
      <c r="C329" s="39"/>
      <c r="D329" s="39"/>
      <c r="E329" s="40" t="s">
        <v>18</v>
      </c>
      <c r="F329" s="39"/>
      <c r="G329" s="156"/>
      <c r="H329" s="157" t="s">
        <v>12</v>
      </c>
      <c r="I329" s="43"/>
      <c r="J329" s="43"/>
      <c r="K329" s="44"/>
      <c r="L329" s="44">
        <f t="shared" ref="L329:N329" si="178">L332+L335</f>
        <v>0</v>
      </c>
      <c r="M329" s="44">
        <f t="shared" si="178"/>
        <v>0</v>
      </c>
      <c r="N329" s="44">
        <f t="shared" si="178"/>
        <v>0</v>
      </c>
      <c r="O329" s="44">
        <f t="shared" si="176"/>
        <v>0</v>
      </c>
      <c r="P329" s="44">
        <f t="shared" si="17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0.25" hidden="1" customHeight="1">
      <c r="A330" s="155"/>
      <c r="B330" s="39"/>
      <c r="C330" s="39"/>
      <c r="D330" s="39"/>
      <c r="E330" s="40" t="s">
        <v>19</v>
      </c>
      <c r="F330" s="39"/>
      <c r="G330" s="156"/>
      <c r="H330" s="157" t="s">
        <v>12</v>
      </c>
      <c r="I330" s="43"/>
      <c r="J330" s="43"/>
      <c r="K330" s="44"/>
      <c r="L330" s="44">
        <f t="shared" ref="L330:N330" ca="1" si="179">L333+L336</f>
        <v>7746800</v>
      </c>
      <c r="M330" s="44">
        <f t="shared" ca="1" si="179"/>
        <v>7762300</v>
      </c>
      <c r="N330" s="44">
        <f t="shared" ca="1" si="179"/>
        <v>7762289.2999999998</v>
      </c>
      <c r="O330" s="44">
        <f t="shared" ca="1" si="176"/>
        <v>100.1999444932101</v>
      </c>
      <c r="P330" s="44">
        <f t="shared" ca="1" si="177"/>
        <v>99.999862154258409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0.25" customHeight="1">
      <c r="A331" s="158"/>
      <c r="B331" s="32"/>
      <c r="C331" s="159"/>
      <c r="D331" s="33" t="s">
        <v>20</v>
      </c>
      <c r="E331" s="32"/>
      <c r="F331" s="32"/>
      <c r="G331" s="34"/>
      <c r="H331" s="160" t="s">
        <v>12</v>
      </c>
      <c r="I331" s="161"/>
      <c r="J331" s="161"/>
      <c r="K331" s="162"/>
      <c r="L331" s="37">
        <f t="shared" ref="L331:N331" ca="1" si="180">L332+L333</f>
        <v>5934800</v>
      </c>
      <c r="M331" s="37">
        <f t="shared" ca="1" si="180"/>
        <v>5987300</v>
      </c>
      <c r="N331" s="37">
        <f t="shared" ca="1" si="180"/>
        <v>5987289.2999999998</v>
      </c>
      <c r="O331" s="37">
        <f t="shared" ca="1" si="176"/>
        <v>100.8844324998315</v>
      </c>
      <c r="P331" s="37">
        <f t="shared" ca="1" si="177"/>
        <v>99.999821288393761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20.25" hidden="1" customHeight="1">
      <c r="A332" s="155"/>
      <c r="B332" s="39"/>
      <c r="C332" s="163"/>
      <c r="D332" s="39"/>
      <c r="E332" s="40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44">
        <f t="shared" si="176"/>
        <v>0</v>
      </c>
      <c r="P332" s="44">
        <f t="shared" si="17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0.25" hidden="1" customHeight="1">
      <c r="A333" s="155"/>
      <c r="B333" s="39"/>
      <c r="C333" s="163"/>
      <c r="D333" s="39"/>
      <c r="E333" s="40" t="s">
        <v>37</v>
      </c>
      <c r="F333" s="39"/>
      <c r="G333" s="156"/>
      <c r="H333" s="164" t="s">
        <v>12</v>
      </c>
      <c r="I333" s="165"/>
      <c r="J333" s="165"/>
      <c r="K333" s="166"/>
      <c r="L333" s="44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4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"),5987300)</f>
        <v>5987300</v>
      </c>
      <c r="N333" s="44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"),5987289.3)</f>
        <v>5987289.2999999998</v>
      </c>
      <c r="O333" s="44">
        <f t="shared" ca="1" si="176"/>
        <v>100.8844324998315</v>
      </c>
      <c r="P333" s="44">
        <f t="shared" ca="1" si="177"/>
        <v>99.999821288393761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0.25" customHeight="1">
      <c r="A334" s="158"/>
      <c r="B334" s="32"/>
      <c r="C334" s="159"/>
      <c r="D334" s="33" t="s">
        <v>21</v>
      </c>
      <c r="E334" s="32"/>
      <c r="F334" s="32"/>
      <c r="G334" s="34"/>
      <c r="H334" s="167" t="s">
        <v>12</v>
      </c>
      <c r="I334" s="161"/>
      <c r="J334" s="161"/>
      <c r="K334" s="162"/>
      <c r="L334" s="37">
        <f t="shared" ref="L334:N334" ca="1" si="181">L335+L336</f>
        <v>1812000</v>
      </c>
      <c r="M334" s="37">
        <f t="shared" ca="1" si="181"/>
        <v>1775000</v>
      </c>
      <c r="N334" s="37">
        <f t="shared" ca="1" si="181"/>
        <v>1775000</v>
      </c>
      <c r="O334" s="37">
        <f t="shared" ca="1" si="176"/>
        <v>97.958057395143484</v>
      </c>
      <c r="P334" s="37">
        <f t="shared" ca="1" si="17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20.25" hidden="1" customHeight="1">
      <c r="A335" s="155"/>
      <c r="B335" s="39"/>
      <c r="C335" s="163"/>
      <c r="D335" s="39"/>
      <c r="E335" s="40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44">
        <f t="shared" si="176"/>
        <v>0</v>
      </c>
      <c r="P335" s="44">
        <f t="shared" si="17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0.25" hidden="1" customHeight="1">
      <c r="A336" s="155"/>
      <c r="B336" s="39"/>
      <c r="C336" s="163"/>
      <c r="D336" s="39"/>
      <c r="E336" s="40" t="s">
        <v>19</v>
      </c>
      <c r="F336" s="39"/>
      <c r="G336" s="156"/>
      <c r="H336" s="168" t="s">
        <v>12</v>
      </c>
      <c r="I336" s="165"/>
      <c r="J336" s="165"/>
      <c r="K336" s="166"/>
      <c r="L336" s="44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4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"),1775000)</f>
        <v>1775000</v>
      </c>
      <c r="N336" s="44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"),1775000)</f>
        <v>1775000</v>
      </c>
      <c r="O336" s="44">
        <f t="shared" ca="1" si="176"/>
        <v>97.958057395143484</v>
      </c>
      <c r="P336" s="44">
        <f t="shared" ca="1" si="17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0.25" customHeight="1">
      <c r="A337" s="169"/>
      <c r="B337" s="170"/>
      <c r="C337" s="163" t="s">
        <v>16</v>
      </c>
      <c r="D337" s="452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174"/>
      <c r="I337" s="161"/>
      <c r="J337" s="36"/>
      <c r="K337" s="37"/>
      <c r="L337" s="37"/>
      <c r="M337" s="37"/>
      <c r="N337" s="37"/>
      <c r="O337" s="162"/>
      <c r="P337" s="162"/>
    </row>
    <row r="338" spans="1:26" ht="20.25" customHeight="1">
      <c r="A338" s="284"/>
      <c r="B338" s="32"/>
      <c r="C338" s="280"/>
      <c r="D338" s="180" t="s">
        <v>150</v>
      </c>
      <c r="E338" s="170"/>
      <c r="F338" s="32"/>
      <c r="G338" s="34"/>
      <c r="H338" s="276" t="s">
        <v>35</v>
      </c>
      <c r="I338" s="36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69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"),57512)</f>
        <v>57512</v>
      </c>
      <c r="K338" s="37">
        <f ca="1">IF(I338&gt;0,J338*100/I338,0)</f>
        <v>197.63573883161513</v>
      </c>
      <c r="L338" s="37"/>
      <c r="M338" s="37"/>
      <c r="N338" s="37"/>
      <c r="O338" s="37"/>
      <c r="P338" s="37"/>
    </row>
    <row r="339" spans="1:26" ht="20.25" customHeight="1">
      <c r="A339" s="284"/>
      <c r="B339" s="32"/>
      <c r="C339" s="280"/>
      <c r="D339" s="180" t="s">
        <v>151</v>
      </c>
      <c r="E339" s="170"/>
      <c r="F339" s="32"/>
      <c r="G339" s="34"/>
      <c r="H339" s="276"/>
      <c r="I339" s="36"/>
      <c r="J339" s="269"/>
      <c r="K339" s="37"/>
      <c r="L339" s="37"/>
      <c r="M339" s="37"/>
      <c r="N339" s="37"/>
      <c r="O339" s="37"/>
      <c r="P339" s="37"/>
    </row>
    <row r="340" spans="1:26" ht="20.25" customHeight="1">
      <c r="A340" s="284"/>
      <c r="B340" s="32"/>
      <c r="C340" s="280"/>
      <c r="D340" s="177"/>
      <c r="E340" s="180" t="s">
        <v>152</v>
      </c>
      <c r="F340" s="32"/>
      <c r="G340" s="34"/>
      <c r="H340" s="276" t="s">
        <v>153</v>
      </c>
      <c r="I340" s="36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69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"),99)</f>
        <v>99</v>
      </c>
      <c r="K340" s="37">
        <f ca="1">IF(I340&gt;0,J340*100/I340,0)</f>
        <v>123.75</v>
      </c>
      <c r="L340" s="37"/>
      <c r="M340" s="37"/>
      <c r="N340" s="37"/>
      <c r="O340" s="37"/>
      <c r="P340" s="37"/>
    </row>
    <row r="341" spans="1:26" ht="20.25" customHeight="1">
      <c r="A341" s="284"/>
      <c r="B341" s="32"/>
      <c r="C341" s="280"/>
      <c r="D341" s="177"/>
      <c r="E341" s="180" t="s">
        <v>154</v>
      </c>
      <c r="F341" s="32"/>
      <c r="G341" s="34"/>
      <c r="H341" s="276" t="s">
        <v>35</v>
      </c>
      <c r="I341" s="36"/>
      <c r="J341" s="269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"),5238)</f>
        <v>5238</v>
      </c>
      <c r="K341" s="37"/>
      <c r="L341" s="37"/>
      <c r="M341" s="37"/>
      <c r="N341" s="37"/>
      <c r="O341" s="37"/>
      <c r="P341" s="37"/>
    </row>
    <row r="342" spans="1:26" ht="20.25" customHeight="1">
      <c r="A342" s="284"/>
      <c r="B342" s="32"/>
      <c r="C342" s="280"/>
      <c r="D342" s="180" t="s">
        <v>155</v>
      </c>
      <c r="E342" s="177"/>
      <c r="F342" s="177"/>
      <c r="G342" s="34"/>
      <c r="H342" s="276" t="s">
        <v>35</v>
      </c>
      <c r="I342" s="36"/>
      <c r="J342" s="269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"),915)</f>
        <v>915</v>
      </c>
      <c r="K342" s="37"/>
      <c r="L342" s="37"/>
      <c r="M342" s="37"/>
      <c r="N342" s="37"/>
      <c r="O342" s="37"/>
      <c r="P342" s="37"/>
    </row>
    <row r="343" spans="1:26" ht="20.25" customHeight="1">
      <c r="A343" s="284"/>
      <c r="B343" s="32"/>
      <c r="C343" s="280"/>
      <c r="D343" s="180" t="s">
        <v>156</v>
      </c>
      <c r="E343" s="177"/>
      <c r="F343" s="177"/>
      <c r="G343" s="34"/>
      <c r="H343" s="276" t="s">
        <v>35</v>
      </c>
      <c r="I343" s="36"/>
      <c r="J343" s="269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"),196)</f>
        <v>196</v>
      </c>
      <c r="K343" s="37"/>
      <c r="L343" s="37"/>
      <c r="M343" s="37"/>
      <c r="N343" s="37"/>
      <c r="O343" s="37"/>
      <c r="P343" s="37"/>
    </row>
    <row r="344" spans="1:26" ht="20.25" customHeight="1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20.25" customHeight="1">
      <c r="A345" s="146"/>
      <c r="B345" s="147"/>
      <c r="C345" s="148" t="s">
        <v>16</v>
      </c>
      <c r="D345" s="149" t="s">
        <v>17</v>
      </c>
      <c r="E345" s="147"/>
      <c r="F345" s="147"/>
      <c r="G345" s="150"/>
      <c r="H345" s="151" t="s">
        <v>12</v>
      </c>
      <c r="I345" s="152"/>
      <c r="J345" s="152"/>
      <c r="K345" s="153"/>
      <c r="L345" s="154">
        <f t="shared" ref="L345:N345" ca="1" si="182">L346+L347</f>
        <v>13975670</v>
      </c>
      <c r="M345" s="154">
        <f t="shared" ca="1" si="182"/>
        <v>15546625</v>
      </c>
      <c r="N345" s="154">
        <f t="shared" ca="1" si="182"/>
        <v>15546624.449999999</v>
      </c>
      <c r="O345" s="154">
        <f t="shared" ref="O345:O353" ca="1" si="183">IF(L345&gt;0,N345*100/L345,0)</f>
        <v>111.24063783704109</v>
      </c>
      <c r="P345" s="154">
        <f t="shared" ref="P345:P353" ca="1" si="184">IF(M345&gt;0,N345*100/M345,0)</f>
        <v>99.999996462254671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20.25" hidden="1" customHeight="1">
      <c r="A346" s="155"/>
      <c r="B346" s="39"/>
      <c r="C346" s="39"/>
      <c r="D346" s="39"/>
      <c r="E346" s="40" t="s">
        <v>18</v>
      </c>
      <c r="F346" s="39"/>
      <c r="G346" s="156"/>
      <c r="H346" s="157" t="s">
        <v>12</v>
      </c>
      <c r="I346" s="43"/>
      <c r="J346" s="43"/>
      <c r="K346" s="44"/>
      <c r="L346" s="44">
        <f t="shared" ref="L346:N346" si="185">L349+L352</f>
        <v>0</v>
      </c>
      <c r="M346" s="44">
        <f t="shared" si="185"/>
        <v>0</v>
      </c>
      <c r="N346" s="44">
        <f t="shared" si="185"/>
        <v>0</v>
      </c>
      <c r="O346" s="44">
        <f t="shared" si="183"/>
        <v>0</v>
      </c>
      <c r="P346" s="44">
        <f t="shared" si="184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0.25" hidden="1" customHeight="1">
      <c r="A347" s="155"/>
      <c r="B347" s="39"/>
      <c r="C347" s="39"/>
      <c r="D347" s="39"/>
      <c r="E347" s="40" t="s">
        <v>19</v>
      </c>
      <c r="F347" s="39"/>
      <c r="G347" s="156"/>
      <c r="H347" s="157" t="s">
        <v>12</v>
      </c>
      <c r="I347" s="43"/>
      <c r="J347" s="43"/>
      <c r="K347" s="44"/>
      <c r="L347" s="44">
        <f t="shared" ref="L347:N347" ca="1" si="186">L350+L353</f>
        <v>13975670</v>
      </c>
      <c r="M347" s="44">
        <f t="shared" ca="1" si="186"/>
        <v>15546625</v>
      </c>
      <c r="N347" s="44">
        <f t="shared" ca="1" si="186"/>
        <v>15546624.449999999</v>
      </c>
      <c r="O347" s="44">
        <f t="shared" ca="1" si="183"/>
        <v>111.24063783704109</v>
      </c>
      <c r="P347" s="44">
        <f t="shared" ca="1" si="184"/>
        <v>99.999996462254671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0.25" customHeight="1">
      <c r="A348" s="158"/>
      <c r="B348" s="32"/>
      <c r="C348" s="159"/>
      <c r="D348" s="33" t="s">
        <v>20</v>
      </c>
      <c r="E348" s="32"/>
      <c r="F348" s="32"/>
      <c r="G348" s="34"/>
      <c r="H348" s="160" t="s">
        <v>12</v>
      </c>
      <c r="I348" s="161"/>
      <c r="J348" s="161"/>
      <c r="K348" s="162"/>
      <c r="L348" s="37">
        <f t="shared" ref="L348:N348" ca="1" si="187">L349+L350</f>
        <v>11809970</v>
      </c>
      <c r="M348" s="37">
        <f t="shared" ca="1" si="187"/>
        <v>13383185</v>
      </c>
      <c r="N348" s="37">
        <f t="shared" ca="1" si="187"/>
        <v>13383184.449999999</v>
      </c>
      <c r="O348" s="37">
        <f t="shared" ca="1" si="183"/>
        <v>113.32107067164438</v>
      </c>
      <c r="P348" s="37">
        <f t="shared" ca="1" si="184"/>
        <v>99.999995890365412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20.25" hidden="1" customHeight="1">
      <c r="A349" s="155"/>
      <c r="B349" s="39"/>
      <c r="C349" s="163"/>
      <c r="D349" s="39"/>
      <c r="E349" s="40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44">
        <f t="shared" si="183"/>
        <v>0</v>
      </c>
      <c r="P349" s="44">
        <f t="shared" si="184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0.25" hidden="1" customHeight="1">
      <c r="A350" s="155"/>
      <c r="B350" s="39"/>
      <c r="C350" s="163"/>
      <c r="D350" s="39"/>
      <c r="E350" s="40" t="s">
        <v>37</v>
      </c>
      <c r="F350" s="39"/>
      <c r="G350" s="156"/>
      <c r="H350" s="164" t="s">
        <v>12</v>
      </c>
      <c r="I350" s="165"/>
      <c r="J350" s="165"/>
      <c r="K350" s="166"/>
      <c r="L350" s="44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4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"),13383185)</f>
        <v>13383185</v>
      </c>
      <c r="N350" s="44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"),13383184.45)</f>
        <v>13383184.449999999</v>
      </c>
      <c r="O350" s="44">
        <f t="shared" ca="1" si="183"/>
        <v>113.32107067164438</v>
      </c>
      <c r="P350" s="44">
        <f t="shared" ca="1" si="184"/>
        <v>99.999995890365412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0.25" customHeight="1">
      <c r="A351" s="158"/>
      <c r="B351" s="32"/>
      <c r="C351" s="159"/>
      <c r="D351" s="33" t="s">
        <v>21</v>
      </c>
      <c r="E351" s="32"/>
      <c r="F351" s="32"/>
      <c r="G351" s="34"/>
      <c r="H351" s="167" t="s">
        <v>12</v>
      </c>
      <c r="I351" s="161"/>
      <c r="J351" s="161"/>
      <c r="K351" s="162"/>
      <c r="L351" s="37">
        <f t="shared" ref="L351:N351" ca="1" si="188">L352+L353</f>
        <v>2165700</v>
      </c>
      <c r="M351" s="37">
        <f t="shared" ca="1" si="188"/>
        <v>2163440</v>
      </c>
      <c r="N351" s="37">
        <f t="shared" ca="1" si="188"/>
        <v>2163440</v>
      </c>
      <c r="O351" s="37">
        <f t="shared" ca="1" si="183"/>
        <v>99.895645749642142</v>
      </c>
      <c r="P351" s="37">
        <f t="shared" ca="1" si="184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20.25" hidden="1" customHeight="1">
      <c r="A352" s="155"/>
      <c r="B352" s="39"/>
      <c r="C352" s="163"/>
      <c r="D352" s="39"/>
      <c r="E352" s="40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44">
        <f t="shared" si="183"/>
        <v>0</v>
      </c>
      <c r="P352" s="44">
        <f t="shared" si="184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0.25" hidden="1" customHeight="1">
      <c r="A353" s="155"/>
      <c r="B353" s="39"/>
      <c r="C353" s="163"/>
      <c r="D353" s="39"/>
      <c r="E353" s="40" t="s">
        <v>19</v>
      </c>
      <c r="F353" s="39"/>
      <c r="G353" s="156"/>
      <c r="H353" s="168" t="s">
        <v>12</v>
      </c>
      <c r="I353" s="165"/>
      <c r="J353" s="165"/>
      <c r="K353" s="166"/>
      <c r="L353" s="44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4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4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4">
        <f t="shared" ca="1" si="183"/>
        <v>99.895645749642142</v>
      </c>
      <c r="P353" s="44">
        <f t="shared" ca="1" si="184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0.25" customHeight="1">
      <c r="A354" s="255"/>
      <c r="B354" s="263"/>
      <c r="C354" s="256"/>
      <c r="D354" s="454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"),3288)</f>
        <v>3288</v>
      </c>
      <c r="J355" s="464">
        <f ca="1">J362</f>
        <v>2897</v>
      </c>
      <c r="K355" s="465">
        <f ca="1">IF(I355&gt;0,J355*100/I355,0)</f>
        <v>88.108272506082727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69"/>
      <c r="B357" s="170"/>
      <c r="C357" s="163" t="s">
        <v>16</v>
      </c>
      <c r="D357" s="171" t="s">
        <v>38</v>
      </c>
      <c r="E357" s="172"/>
      <c r="F357" s="172"/>
      <c r="G357" s="173"/>
      <c r="H357" s="174"/>
      <c r="I357" s="36"/>
      <c r="J357" s="36"/>
      <c r="K357" s="37"/>
      <c r="L357" s="162"/>
      <c r="M357" s="162"/>
      <c r="N357" s="162"/>
      <c r="O357" s="162"/>
      <c r="P357" s="162"/>
    </row>
    <row r="358" spans="1:26" ht="20.25" customHeight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"),3843)</f>
        <v>3843</v>
      </c>
      <c r="K358" s="37">
        <f t="shared" ref="K358:K365" si="189">IF(I358&gt;0,J358*100/I358,0)</f>
        <v>0</v>
      </c>
      <c r="L358" s="162"/>
      <c r="M358" s="162"/>
      <c r="N358" s="162"/>
      <c r="O358" s="162"/>
      <c r="P358" s="162"/>
    </row>
    <row r="359" spans="1:26" ht="20.25" customHeight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36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"),37611)</f>
        <v>37611</v>
      </c>
      <c r="J359" s="269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"),42698.42)</f>
        <v>42698.42</v>
      </c>
      <c r="K359" s="37">
        <f t="shared" ca="1" si="189"/>
        <v>113.52641514450559</v>
      </c>
      <c r="L359" s="162"/>
      <c r="M359" s="162"/>
      <c r="N359" s="162"/>
      <c r="O359" s="162"/>
      <c r="P359" s="162"/>
    </row>
    <row r="360" spans="1:26" ht="20.25" customHeight="1">
      <c r="A360" s="169"/>
      <c r="B360" s="177"/>
      <c r="C360" s="170"/>
      <c r="D360" s="177"/>
      <c r="E360" s="175" t="s">
        <v>162</v>
      </c>
      <c r="F360" s="177"/>
      <c r="G360" s="178"/>
      <c r="H360" s="181" t="s">
        <v>35</v>
      </c>
      <c r="I360" s="36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"),3288)</f>
        <v>3288</v>
      </c>
      <c r="J360" s="269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"),3095)</f>
        <v>3095</v>
      </c>
      <c r="K360" s="37">
        <f t="shared" ca="1" si="189"/>
        <v>94.130170316301701</v>
      </c>
      <c r="L360" s="162"/>
      <c r="M360" s="162"/>
      <c r="N360" s="162"/>
      <c r="O360" s="162"/>
      <c r="P360" s="162"/>
    </row>
    <row r="361" spans="1:26" ht="20.25" customHeight="1">
      <c r="A361" s="169"/>
      <c r="B361" s="177"/>
      <c r="C361" s="170"/>
      <c r="D361" s="177"/>
      <c r="E361" s="177"/>
      <c r="F361" s="177"/>
      <c r="G361" s="178"/>
      <c r="H361" s="181" t="s">
        <v>46</v>
      </c>
      <c r="I361" s="269">
        <v>0</v>
      </c>
      <c r="J361" s="269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"),34167.61)</f>
        <v>34167.61</v>
      </c>
      <c r="K361" s="37">
        <f t="shared" si="189"/>
        <v>0</v>
      </c>
      <c r="L361" s="162"/>
      <c r="M361" s="162"/>
      <c r="N361" s="162"/>
      <c r="O361" s="162"/>
      <c r="P361" s="162"/>
    </row>
    <row r="362" spans="1:26" ht="20.25" customHeight="1">
      <c r="A362" s="169"/>
      <c r="B362" s="177"/>
      <c r="C362" s="170"/>
      <c r="D362" s="177"/>
      <c r="E362" s="175" t="s">
        <v>163</v>
      </c>
      <c r="F362" s="177"/>
      <c r="G362" s="178"/>
      <c r="H362" s="181" t="s">
        <v>35</v>
      </c>
      <c r="I362" s="36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"),3288)</f>
        <v>3288</v>
      </c>
      <c r="J362" s="269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"),2897)</f>
        <v>2897</v>
      </c>
      <c r="K362" s="37">
        <f t="shared" ca="1" si="189"/>
        <v>88.108272506082727</v>
      </c>
      <c r="L362" s="162"/>
      <c r="M362" s="162"/>
      <c r="N362" s="162"/>
      <c r="O362" s="162"/>
      <c r="P362" s="162"/>
    </row>
    <row r="363" spans="1:26" ht="20.25" customHeight="1">
      <c r="A36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63" s="177"/>
      <c r="C363" s="170"/>
      <c r="D363" s="177"/>
      <c r="E363" s="176"/>
      <c r="F363" s="177"/>
      <c r="G363" s="178"/>
      <c r="H363" s="181" t="s">
        <v>46</v>
      </c>
      <c r="I363" s="269">
        <v>0</v>
      </c>
      <c r="J363" s="269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"),32985.0499999999)</f>
        <v>32985.049999999901</v>
      </c>
      <c r="K363" s="37">
        <f t="shared" si="189"/>
        <v>0</v>
      </c>
      <c r="L363" s="162"/>
      <c r="M363" s="162"/>
      <c r="N363" s="162"/>
      <c r="O363" s="162"/>
      <c r="P363" s="162"/>
    </row>
    <row r="364" spans="1:26" ht="20.25" customHeight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t="shared" ref="I364:J364" ca="1" si="190">I365+I374</f>
        <v>5098</v>
      </c>
      <c r="J364" s="478">
        <f t="shared" ca="1" si="190"/>
        <v>6177</v>
      </c>
      <c r="K364" s="479">
        <f t="shared" ca="1" si="189"/>
        <v>121.16516280894469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165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"),1208)</f>
        <v>1208</v>
      </c>
      <c r="J365" s="490">
        <f ca="1">J372</f>
        <v>1177</v>
      </c>
      <c r="K365" s="491">
        <f t="shared" ca="1" si="189"/>
        <v>97.433774834437088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69"/>
      <c r="B367" s="170"/>
      <c r="C367" s="163" t="s">
        <v>16</v>
      </c>
      <c r="D367" s="171" t="s">
        <v>38</v>
      </c>
      <c r="E367" s="172"/>
      <c r="F367" s="172"/>
      <c r="G367" s="173"/>
      <c r="H367" s="174"/>
      <c r="I367" s="36"/>
      <c r="J367" s="36"/>
      <c r="K367" s="37"/>
      <c r="L367" s="162"/>
      <c r="M367" s="162"/>
      <c r="N367" s="162"/>
      <c r="O367" s="162"/>
      <c r="P367" s="162"/>
    </row>
    <row r="368" spans="1:26" ht="20.25" customHeight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"),1477)</f>
        <v>1477</v>
      </c>
      <c r="K368" s="37">
        <f t="shared" ref="K368:K374" si="191">IF(I368&gt;0,J368*100/I368,0)</f>
        <v>0</v>
      </c>
      <c r="L368" s="162"/>
      <c r="M368" s="162"/>
      <c r="N368" s="162"/>
      <c r="O368" s="162"/>
      <c r="P368" s="162"/>
    </row>
    <row r="369" spans="1:26" ht="20.25" customHeight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36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"),14663)</f>
        <v>14663</v>
      </c>
      <c r="J369" s="269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"),20744.22)</f>
        <v>20744.22</v>
      </c>
      <c r="K369" s="37">
        <f t="shared" ca="1" si="191"/>
        <v>141.47323194434972</v>
      </c>
      <c r="L369" s="162"/>
      <c r="M369" s="162"/>
      <c r="N369" s="162"/>
      <c r="O369" s="162"/>
      <c r="P369" s="162"/>
    </row>
    <row r="370" spans="1:26" ht="20.25" customHeight="1">
      <c r="A370" s="169"/>
      <c r="B370" s="177"/>
      <c r="C370" s="170"/>
      <c r="D370" s="177"/>
      <c r="E370" s="175" t="s">
        <v>162</v>
      </c>
      <c r="F370" s="177"/>
      <c r="G370" s="178"/>
      <c r="H370" s="181" t="s">
        <v>35</v>
      </c>
      <c r="I370" s="36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"),1208)</f>
        <v>1208</v>
      </c>
      <c r="J370" s="269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"),1284)</f>
        <v>1284</v>
      </c>
      <c r="K370" s="37">
        <f t="shared" ca="1" si="191"/>
        <v>106.29139072847683</v>
      </c>
      <c r="L370" s="162"/>
      <c r="M370" s="162"/>
      <c r="N370" s="162"/>
      <c r="O370" s="162"/>
      <c r="P370" s="162"/>
    </row>
    <row r="371" spans="1:26" ht="20.25" customHeight="1">
      <c r="A371" s="169"/>
      <c r="B371" s="177"/>
      <c r="C371" s="170"/>
      <c r="D371" s="177"/>
      <c r="E371" s="177"/>
      <c r="F371" s="177"/>
      <c r="G371" s="178"/>
      <c r="H371" s="181" t="s">
        <v>46</v>
      </c>
      <c r="I371" s="269">
        <v>0</v>
      </c>
      <c r="J371" s="269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"),17504.27)</f>
        <v>17504.27</v>
      </c>
      <c r="K371" s="37">
        <f t="shared" si="191"/>
        <v>0</v>
      </c>
      <c r="L371" s="162"/>
      <c r="M371" s="162"/>
      <c r="N371" s="162"/>
      <c r="O371" s="162"/>
      <c r="P371" s="162"/>
    </row>
    <row r="372" spans="1:26" ht="20.25" customHeight="1">
      <c r="A372" s="169"/>
      <c r="B372" s="177"/>
      <c r="C372" s="170"/>
      <c r="D372" s="177"/>
      <c r="E372" s="175" t="s">
        <v>163</v>
      </c>
      <c r="F372" s="177"/>
      <c r="G372" s="178"/>
      <c r="H372" s="181" t="s">
        <v>35</v>
      </c>
      <c r="I372" s="36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"),1208)</f>
        <v>1208</v>
      </c>
      <c r="J372" s="269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"),1177)</f>
        <v>1177</v>
      </c>
      <c r="K372" s="37">
        <f t="shared" ca="1" si="191"/>
        <v>97.433774834437088</v>
      </c>
      <c r="L372" s="162"/>
      <c r="M372" s="162"/>
      <c r="N372" s="162"/>
      <c r="O372" s="162"/>
      <c r="P372" s="162"/>
    </row>
    <row r="373" spans="1:26" ht="20.25" customHeight="1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176"/>
      <c r="F373" s="177"/>
      <c r="G373" s="178"/>
      <c r="H373" s="181" t="s">
        <v>46</v>
      </c>
      <c r="I373" s="269">
        <v>0</v>
      </c>
      <c r="J373" s="269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"),16977.77)</f>
        <v>16977.77</v>
      </c>
      <c r="K373" s="37">
        <f t="shared" si="191"/>
        <v>0</v>
      </c>
      <c r="L373" s="162"/>
      <c r="M373" s="162"/>
      <c r="N373" s="162"/>
      <c r="O373" s="162"/>
      <c r="P373" s="162"/>
    </row>
    <row r="374" spans="1:26" ht="20.25" customHeight="1">
      <c r="A374" s="482"/>
      <c r="B374" s="483"/>
      <c r="C374" s="484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"),3890)</f>
        <v>3890</v>
      </c>
      <c r="J374" s="490">
        <f ca="1">J381</f>
        <v>5000</v>
      </c>
      <c r="K374" s="491">
        <f t="shared" ca="1" si="191"/>
        <v>128.53470437017995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69"/>
      <c r="B376" s="170"/>
      <c r="C376" s="163" t="s">
        <v>16</v>
      </c>
      <c r="D376" s="171" t="s">
        <v>38</v>
      </c>
      <c r="E376" s="172"/>
      <c r="F376" s="172"/>
      <c r="G376" s="173"/>
      <c r="H376" s="174"/>
      <c r="I376" s="36"/>
      <c r="J376" s="36"/>
      <c r="K376" s="37"/>
      <c r="L376" s="162"/>
      <c r="M376" s="162"/>
      <c r="N376" s="162"/>
      <c r="O376" s="162"/>
      <c r="P376" s="162"/>
    </row>
    <row r="377" spans="1:26" ht="20.25" customHeight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"),2366)</f>
        <v>2366</v>
      </c>
      <c r="K377" s="497">
        <f t="shared" ref="K377:K382" si="192">IF(I377&gt;0,J377*100/I377,0)</f>
        <v>0</v>
      </c>
      <c r="L377" s="162"/>
      <c r="M377" s="162"/>
      <c r="N377" s="162"/>
      <c r="O377" s="162"/>
      <c r="P377" s="162"/>
    </row>
    <row r="378" spans="1:26" ht="20.25" customHeight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36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"),22948)</f>
        <v>22948</v>
      </c>
      <c r="J378" s="269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"),21954.1999999999)</f>
        <v>21954.199999999899</v>
      </c>
      <c r="K378" s="497">
        <f t="shared" ca="1" si="192"/>
        <v>95.66933937598003</v>
      </c>
      <c r="L378" s="162"/>
      <c r="M378" s="162"/>
      <c r="N378" s="162"/>
      <c r="O378" s="162"/>
      <c r="P378" s="162"/>
    </row>
    <row r="379" spans="1:26" ht="20.25" customHeight="1">
      <c r="A379" s="169"/>
      <c r="B379" s="177"/>
      <c r="C379" s="170"/>
      <c r="D379" s="177"/>
      <c r="E379" s="175" t="s">
        <v>162</v>
      </c>
      <c r="F379" s="177"/>
      <c r="G379" s="178"/>
      <c r="H379" s="181" t="s">
        <v>35</v>
      </c>
      <c r="I379" s="36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"),3890)</f>
        <v>3890</v>
      </c>
      <c r="J379" s="269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"),5038)</f>
        <v>5038</v>
      </c>
      <c r="K379" s="497">
        <f t="shared" ca="1" si="192"/>
        <v>129.51156812339332</v>
      </c>
      <c r="L379" s="162"/>
      <c r="M379" s="162"/>
      <c r="N379" s="162"/>
      <c r="O379" s="162"/>
      <c r="P379" s="162"/>
    </row>
    <row r="380" spans="1:26" ht="20.25" customHeight="1">
      <c r="A380" s="169"/>
      <c r="B380" s="177"/>
      <c r="C380" s="170"/>
      <c r="D380" s="177"/>
      <c r="E380" s="177"/>
      <c r="F380" s="177"/>
      <c r="G380" s="178"/>
      <c r="H380" s="181" t="s">
        <v>46</v>
      </c>
      <c r="I380" s="269">
        <v>0</v>
      </c>
      <c r="J380" s="269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"),68925.5)</f>
        <v>68925.5</v>
      </c>
      <c r="K380" s="497">
        <f t="shared" si="192"/>
        <v>0</v>
      </c>
      <c r="L380" s="162"/>
      <c r="M380" s="162"/>
      <c r="N380" s="162"/>
      <c r="O380" s="162"/>
      <c r="P380" s="162"/>
    </row>
    <row r="381" spans="1:26" ht="20.25" customHeight="1">
      <c r="A381" s="169"/>
      <c r="B381" s="177"/>
      <c r="C381" s="170"/>
      <c r="D381" s="177"/>
      <c r="E381" s="175" t="s">
        <v>163</v>
      </c>
      <c r="F381" s="177"/>
      <c r="G381" s="178"/>
      <c r="H381" s="181" t="s">
        <v>35</v>
      </c>
      <c r="I381" s="36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"),3890)</f>
        <v>3890</v>
      </c>
      <c r="J381" s="269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"),5000)</f>
        <v>5000</v>
      </c>
      <c r="K381" s="497">
        <f t="shared" ca="1" si="192"/>
        <v>128.53470437017995</v>
      </c>
      <c r="L381" s="162"/>
      <c r="M381" s="162"/>
      <c r="N381" s="162"/>
      <c r="O381" s="162"/>
      <c r="P381" s="162"/>
    </row>
    <row r="382" spans="1:26" ht="20.25" customHeight="1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176"/>
      <c r="F382" s="177"/>
      <c r="G382" s="178"/>
      <c r="H382" s="181" t="s">
        <v>46</v>
      </c>
      <c r="I382" s="269">
        <v>0</v>
      </c>
      <c r="J382" s="269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"),69470.4299999999)</f>
        <v>69470.429999999906</v>
      </c>
      <c r="K382" s="497">
        <f t="shared" si="192"/>
        <v>0</v>
      </c>
      <c r="L382" s="162"/>
      <c r="M382" s="162"/>
      <c r="N382" s="162"/>
      <c r="O382" s="162"/>
      <c r="P382" s="162"/>
    </row>
    <row r="383" spans="1:26" ht="20.25" customHeight="1">
      <c r="A383" s="255"/>
      <c r="B383" s="263"/>
      <c r="C383" s="256"/>
      <c r="D383" s="49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20.25" customHeight="1">
      <c r="A384" s="169"/>
      <c r="B384" s="170"/>
      <c r="C384" s="32" t="s">
        <v>16</v>
      </c>
      <c r="D384" s="452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174"/>
      <c r="I384" s="36"/>
      <c r="J384" s="36"/>
      <c r="K384" s="37"/>
      <c r="L384" s="162"/>
      <c r="M384" s="162"/>
      <c r="N384" s="162"/>
      <c r="O384" s="162"/>
      <c r="P384" s="162"/>
    </row>
    <row r="385" spans="1:26" ht="20.25" customHeight="1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"),259)</f>
        <v>259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"),227)</f>
        <v>227</v>
      </c>
      <c r="K385" s="502">
        <f ca="1">IF(I385&gt;0,J385*100/I385,0)</f>
        <v>87.644787644787641</v>
      </c>
      <c r="L385" s="384"/>
      <c r="M385" s="384"/>
      <c r="N385" s="384"/>
      <c r="O385" s="384"/>
      <c r="P385" s="384"/>
    </row>
    <row r="386" spans="1:26" ht="20.25" hidden="1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6"/>
      <c r="B389" s="147"/>
      <c r="C389" s="148" t="s">
        <v>16</v>
      </c>
      <c r="D389" s="149" t="s">
        <v>17</v>
      </c>
      <c r="E389" s="147"/>
      <c r="F389" s="147"/>
      <c r="G389" s="150"/>
      <c r="H389" s="151" t="s">
        <v>12</v>
      </c>
      <c r="I389" s="152"/>
      <c r="J389" s="152"/>
      <c r="K389" s="153"/>
      <c r="L389" s="154">
        <f t="shared" ref="L389:N389" ca="1" si="194">L390+L391</f>
        <v>0</v>
      </c>
      <c r="M389" s="154">
        <f t="shared" ca="1" si="194"/>
        <v>0</v>
      </c>
      <c r="N389" s="154">
        <f t="shared" ca="1" si="194"/>
        <v>0</v>
      </c>
      <c r="O389" s="154">
        <f t="shared" ref="O389:O397" ca="1" si="195">IF(L389&gt;0,N389*100/L389,0)</f>
        <v>0</v>
      </c>
      <c r="P389" s="154">
        <f t="shared" ref="P389:P397" ca="1" si="19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20.25" hidden="1" customHeight="1">
      <c r="A390" s="155"/>
      <c r="B390" s="39"/>
      <c r="C390" s="39"/>
      <c r="D390" s="39"/>
      <c r="E390" s="40" t="s">
        <v>18</v>
      </c>
      <c r="F390" s="39"/>
      <c r="G390" s="156"/>
      <c r="H390" s="157" t="s">
        <v>12</v>
      </c>
      <c r="I390" s="43"/>
      <c r="J390" s="43"/>
      <c r="K390" s="44"/>
      <c r="L390" s="44">
        <f t="shared" ref="L390:N390" si="197">L393+L396</f>
        <v>0</v>
      </c>
      <c r="M390" s="44">
        <f t="shared" si="197"/>
        <v>0</v>
      </c>
      <c r="N390" s="44">
        <f t="shared" si="197"/>
        <v>0</v>
      </c>
      <c r="O390" s="44">
        <f t="shared" si="195"/>
        <v>0</v>
      </c>
      <c r="P390" s="44">
        <f t="shared" si="19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0.25" hidden="1" customHeight="1">
      <c r="A391" s="155"/>
      <c r="B391" s="39"/>
      <c r="C391" s="39"/>
      <c r="D391" s="39"/>
      <c r="E391" s="40" t="s">
        <v>19</v>
      </c>
      <c r="F391" s="39"/>
      <c r="G391" s="156"/>
      <c r="H391" s="157" t="s">
        <v>12</v>
      </c>
      <c r="I391" s="43"/>
      <c r="J391" s="43"/>
      <c r="K391" s="44"/>
      <c r="L391" s="44">
        <f t="shared" ref="L391:N391" ca="1" si="198">L394+L397</f>
        <v>0</v>
      </c>
      <c r="M391" s="44">
        <f t="shared" ca="1" si="198"/>
        <v>0</v>
      </c>
      <c r="N391" s="44">
        <f t="shared" ca="1" si="198"/>
        <v>0</v>
      </c>
      <c r="O391" s="44">
        <f t="shared" ca="1" si="195"/>
        <v>0</v>
      </c>
      <c r="P391" s="44">
        <f t="shared" ca="1" si="19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0.25" hidden="1" customHeight="1">
      <c r="A392" s="158"/>
      <c r="B392" s="32"/>
      <c r="C392" s="159"/>
      <c r="D392" s="33" t="s">
        <v>20</v>
      </c>
      <c r="E392" s="32"/>
      <c r="F392" s="32"/>
      <c r="G392" s="34"/>
      <c r="H392" s="160" t="s">
        <v>12</v>
      </c>
      <c r="I392" s="161"/>
      <c r="J392" s="161"/>
      <c r="K392" s="162"/>
      <c r="L392" s="37">
        <f t="shared" ref="L392:N392" ca="1" si="199">L393+L394</f>
        <v>0</v>
      </c>
      <c r="M392" s="37">
        <f t="shared" ca="1" si="199"/>
        <v>0</v>
      </c>
      <c r="N392" s="37">
        <f t="shared" ca="1" si="199"/>
        <v>0</v>
      </c>
      <c r="O392" s="37">
        <f t="shared" ca="1" si="195"/>
        <v>0</v>
      </c>
      <c r="P392" s="37">
        <f t="shared" ca="1" si="19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20.25" hidden="1" customHeight="1">
      <c r="A393" s="155"/>
      <c r="B393" s="39"/>
      <c r="C393" s="163"/>
      <c r="D393" s="39"/>
      <c r="E393" s="40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44">
        <f t="shared" si="195"/>
        <v>0</v>
      </c>
      <c r="P393" s="44">
        <f t="shared" si="19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0.25" hidden="1" customHeight="1">
      <c r="A394" s="155"/>
      <c r="B394" s="39"/>
      <c r="C394" s="163"/>
      <c r="D394" s="39"/>
      <c r="E394" s="40" t="s">
        <v>37</v>
      </c>
      <c r="F394" s="39"/>
      <c r="G394" s="156"/>
      <c r="H394" s="164" t="s">
        <v>12</v>
      </c>
      <c r="I394" s="165"/>
      <c r="J394" s="165"/>
      <c r="K394" s="166"/>
      <c r="L394" s="44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4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4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4">
        <f t="shared" ca="1" si="195"/>
        <v>0</v>
      </c>
      <c r="P394" s="44">
        <f t="shared" ca="1" si="19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0.25" hidden="1" customHeight="1">
      <c r="A395" s="158"/>
      <c r="B395" s="32"/>
      <c r="C395" s="159"/>
      <c r="D395" s="33" t="s">
        <v>21</v>
      </c>
      <c r="E395" s="32"/>
      <c r="F395" s="32"/>
      <c r="G395" s="34"/>
      <c r="H395" s="167" t="s">
        <v>12</v>
      </c>
      <c r="I395" s="161"/>
      <c r="J395" s="161"/>
      <c r="K395" s="162"/>
      <c r="L395" s="37">
        <f t="shared" ref="L395:N395" ca="1" si="200">L396+L397</f>
        <v>0</v>
      </c>
      <c r="M395" s="37">
        <f t="shared" ca="1" si="200"/>
        <v>0</v>
      </c>
      <c r="N395" s="37">
        <f t="shared" ca="1" si="200"/>
        <v>0</v>
      </c>
      <c r="O395" s="37">
        <f t="shared" ca="1" si="195"/>
        <v>0</v>
      </c>
      <c r="P395" s="37">
        <f t="shared" ca="1" si="19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20.25" hidden="1" customHeight="1">
      <c r="A396" s="155"/>
      <c r="B396" s="39"/>
      <c r="C396" s="163"/>
      <c r="D396" s="39"/>
      <c r="E396" s="40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44">
        <f t="shared" si="195"/>
        <v>0</v>
      </c>
      <c r="P396" s="44">
        <f t="shared" si="19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0.25" hidden="1" customHeight="1">
      <c r="A397" s="155"/>
      <c r="B397" s="39"/>
      <c r="C397" s="163"/>
      <c r="D397" s="39"/>
      <c r="E397" s="40" t="s">
        <v>19</v>
      </c>
      <c r="F397" s="39"/>
      <c r="G397" s="156"/>
      <c r="H397" s="168" t="s">
        <v>12</v>
      </c>
      <c r="I397" s="165"/>
      <c r="J397" s="165"/>
      <c r="K397" s="166"/>
      <c r="L397" s="44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4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4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4">
        <f t="shared" ca="1" si="195"/>
        <v>0</v>
      </c>
      <c r="P397" s="44">
        <f t="shared" ca="1" si="19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0.25" hidden="1" customHeight="1">
      <c r="A398" s="169"/>
      <c r="B398" s="170"/>
      <c r="C398" s="163" t="s">
        <v>16</v>
      </c>
      <c r="D398" s="171" t="s">
        <v>38</v>
      </c>
      <c r="E398" s="172"/>
      <c r="F398" s="172"/>
      <c r="G398" s="173"/>
      <c r="H398" s="174"/>
      <c r="I398" s="161"/>
      <c r="J398" s="36"/>
      <c r="K398" s="37"/>
      <c r="L398" s="37"/>
      <c r="M398" s="37"/>
      <c r="N398" s="37"/>
      <c r="O398" s="162"/>
      <c r="P398" s="162"/>
    </row>
    <row r="399" spans="1:26" ht="20.25" hidden="1" customHeight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2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7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20.25" hidden="1" customHeight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2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7">
        <f t="shared" ca="1" si="201"/>
        <v>0</v>
      </c>
      <c r="L400" s="37"/>
      <c r="M400" s="37"/>
      <c r="N400" s="37"/>
      <c r="O400" s="37"/>
      <c r="P400" s="37"/>
    </row>
    <row r="401" spans="1:26" ht="20.25" hidden="1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6"/>
      <c r="B402" s="147"/>
      <c r="C402" s="148" t="s">
        <v>16</v>
      </c>
      <c r="D402" s="149" t="s">
        <v>17</v>
      </c>
      <c r="E402" s="147"/>
      <c r="F402" s="147"/>
      <c r="G402" s="150"/>
      <c r="H402" s="151" t="s">
        <v>12</v>
      </c>
      <c r="I402" s="152"/>
      <c r="J402" s="152"/>
      <c r="K402" s="153"/>
      <c r="L402" s="154">
        <f t="shared" ref="L402:N402" ca="1" si="203">L403+L404</f>
        <v>0</v>
      </c>
      <c r="M402" s="154">
        <f t="shared" ca="1" si="203"/>
        <v>0</v>
      </c>
      <c r="N402" s="154">
        <f t="shared" ca="1" si="203"/>
        <v>0</v>
      </c>
      <c r="O402" s="154">
        <f t="shared" ref="O402:O410" ca="1" si="204">IF(L402&gt;0,N402*100/L402,0)</f>
        <v>0</v>
      </c>
      <c r="P402" s="154">
        <f t="shared" ref="P402:P410" ca="1" si="205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20.25" hidden="1" customHeight="1">
      <c r="A403" s="155"/>
      <c r="B403" s="39"/>
      <c r="C403" s="39"/>
      <c r="D403" s="39"/>
      <c r="E403" s="40" t="s">
        <v>18</v>
      </c>
      <c r="F403" s="39"/>
      <c r="G403" s="156"/>
      <c r="H403" s="157" t="s">
        <v>12</v>
      </c>
      <c r="I403" s="43"/>
      <c r="J403" s="43"/>
      <c r="K403" s="44"/>
      <c r="L403" s="44">
        <f t="shared" ref="L403:N403" si="206">L406+L409</f>
        <v>0</v>
      </c>
      <c r="M403" s="44">
        <f t="shared" si="206"/>
        <v>0</v>
      </c>
      <c r="N403" s="44">
        <f t="shared" si="206"/>
        <v>0</v>
      </c>
      <c r="O403" s="44">
        <f t="shared" si="204"/>
        <v>0</v>
      </c>
      <c r="P403" s="44">
        <f t="shared" si="205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0.25" hidden="1" customHeight="1">
      <c r="A404" s="155"/>
      <c r="B404" s="39"/>
      <c r="C404" s="39"/>
      <c r="D404" s="39"/>
      <c r="E404" s="40" t="s">
        <v>19</v>
      </c>
      <c r="F404" s="39"/>
      <c r="G404" s="156"/>
      <c r="H404" s="157" t="s">
        <v>12</v>
      </c>
      <c r="I404" s="43"/>
      <c r="J404" s="43"/>
      <c r="K404" s="44"/>
      <c r="L404" s="44">
        <f t="shared" ref="L404:N404" ca="1" si="207">L407+L410</f>
        <v>0</v>
      </c>
      <c r="M404" s="44">
        <f t="shared" ca="1" si="207"/>
        <v>0</v>
      </c>
      <c r="N404" s="44">
        <f t="shared" ca="1" si="207"/>
        <v>0</v>
      </c>
      <c r="O404" s="44">
        <f t="shared" ca="1" si="204"/>
        <v>0</v>
      </c>
      <c r="P404" s="44">
        <f t="shared" ca="1" si="205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0.25" hidden="1" customHeight="1">
      <c r="A405" s="158"/>
      <c r="B405" s="32"/>
      <c r="C405" s="159"/>
      <c r="D405" s="33" t="s">
        <v>20</v>
      </c>
      <c r="E405" s="32"/>
      <c r="F405" s="32"/>
      <c r="G405" s="34"/>
      <c r="H405" s="160" t="s">
        <v>12</v>
      </c>
      <c r="I405" s="161"/>
      <c r="J405" s="161"/>
      <c r="K405" s="162"/>
      <c r="L405" s="37">
        <f t="shared" ref="L405:N405" ca="1" si="208">L406+L407</f>
        <v>0</v>
      </c>
      <c r="M405" s="37">
        <f t="shared" ca="1" si="208"/>
        <v>0</v>
      </c>
      <c r="N405" s="37">
        <f t="shared" ca="1" si="208"/>
        <v>0</v>
      </c>
      <c r="O405" s="37">
        <f t="shared" ca="1" si="204"/>
        <v>0</v>
      </c>
      <c r="P405" s="37">
        <f t="shared" ca="1" si="205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20.25" hidden="1" customHeight="1">
      <c r="A406" s="155"/>
      <c r="B406" s="39"/>
      <c r="C406" s="163"/>
      <c r="D406" s="39"/>
      <c r="E406" s="40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44">
        <f t="shared" si="204"/>
        <v>0</v>
      </c>
      <c r="P406" s="44">
        <f t="shared" si="205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0.25" hidden="1" customHeight="1">
      <c r="A407" s="155"/>
      <c r="B407" s="39"/>
      <c r="C407" s="163"/>
      <c r="D407" s="39"/>
      <c r="E407" s="40" t="s">
        <v>37</v>
      </c>
      <c r="F407" s="39"/>
      <c r="G407" s="156"/>
      <c r="H407" s="164" t="s">
        <v>12</v>
      </c>
      <c r="I407" s="165"/>
      <c r="J407" s="165"/>
      <c r="K407" s="166"/>
      <c r="L407" s="44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4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4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4">
        <f t="shared" ca="1" si="204"/>
        <v>0</v>
      </c>
      <c r="P407" s="44">
        <f t="shared" ca="1" si="205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0.25" hidden="1" customHeight="1">
      <c r="A408" s="158"/>
      <c r="B408" s="32"/>
      <c r="C408" s="159"/>
      <c r="D408" s="33" t="s">
        <v>21</v>
      </c>
      <c r="E408" s="32"/>
      <c r="F408" s="32"/>
      <c r="G408" s="34"/>
      <c r="H408" s="167" t="s">
        <v>12</v>
      </c>
      <c r="I408" s="161"/>
      <c r="J408" s="161"/>
      <c r="K408" s="162"/>
      <c r="L408" s="37">
        <f t="shared" ref="L408:N408" ca="1" si="209">L409+L410</f>
        <v>0</v>
      </c>
      <c r="M408" s="37">
        <f t="shared" ca="1" si="209"/>
        <v>0</v>
      </c>
      <c r="N408" s="37">
        <f t="shared" ca="1" si="209"/>
        <v>0</v>
      </c>
      <c r="O408" s="37">
        <f t="shared" ca="1" si="204"/>
        <v>0</v>
      </c>
      <c r="P408" s="37">
        <f t="shared" ca="1" si="205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20.25" hidden="1" customHeight="1">
      <c r="A409" s="155"/>
      <c r="B409" s="39"/>
      <c r="C409" s="163"/>
      <c r="D409" s="39"/>
      <c r="E409" s="40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44">
        <f t="shared" si="204"/>
        <v>0</v>
      </c>
      <c r="P409" s="44">
        <f t="shared" si="205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0.25" hidden="1" customHeight="1">
      <c r="A410" s="155"/>
      <c r="B410" s="39"/>
      <c r="C410" s="163"/>
      <c r="D410" s="39"/>
      <c r="E410" s="40" t="s">
        <v>19</v>
      </c>
      <c r="F410" s="39"/>
      <c r="G410" s="156"/>
      <c r="H410" s="168" t="s">
        <v>12</v>
      </c>
      <c r="I410" s="165"/>
      <c r="J410" s="165"/>
      <c r="K410" s="166"/>
      <c r="L410" s="44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4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4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4">
        <f t="shared" ca="1" si="204"/>
        <v>0</v>
      </c>
      <c r="P410" s="44">
        <f t="shared" ca="1" si="205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0.25" hidden="1" customHeight="1">
      <c r="A411" s="169"/>
      <c r="B411" s="170"/>
      <c r="C411" s="163" t="s">
        <v>16</v>
      </c>
      <c r="D411" s="530" t="s">
        <v>38</v>
      </c>
      <c r="E411" s="531"/>
      <c r="F411" s="531"/>
      <c r="G411" s="532"/>
      <c r="H411" s="174"/>
      <c r="I411" s="36"/>
      <c r="J411" s="36"/>
      <c r="K411" s="37"/>
      <c r="L411" s="162"/>
      <c r="M411" s="162"/>
      <c r="N411" s="162"/>
      <c r="O411" s="162"/>
      <c r="P411" s="162"/>
    </row>
    <row r="412" spans="1:26" ht="20.25" hidden="1" customHeight="1">
      <c r="A412" s="169"/>
      <c r="B412" s="177"/>
      <c r="C412" s="177"/>
      <c r="D412" s="180" t="s">
        <v>177</v>
      </c>
      <c r="E412" s="177"/>
      <c r="F412" s="177"/>
      <c r="G412" s="178"/>
      <c r="H412" s="533" t="s">
        <v>66</v>
      </c>
      <c r="I412" s="269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2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7">
        <f t="shared" ref="K412:K413" ca="1" si="210">IF(I412&gt;0,J412*100/I412,0)</f>
        <v>0</v>
      </c>
      <c r="L412" s="162"/>
      <c r="M412" s="162"/>
      <c r="N412" s="162"/>
      <c r="O412" s="162"/>
      <c r="P412" s="162"/>
    </row>
    <row r="413" spans="1:26" ht="20.25" hidden="1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23254831</v>
      </c>
      <c r="M414" s="549">
        <f t="shared" ca="1" si="211"/>
        <v>20942356.970000003</v>
      </c>
      <c r="N414" s="549">
        <f t="shared" ca="1" si="211"/>
        <v>20942356.973000001</v>
      </c>
      <c r="O414" s="549">
        <f ca="1">IF(L414&gt;0,N414*100/L414,0)</f>
        <v>90.055941378374243</v>
      </c>
      <c r="P414" s="549">
        <f ca="1">IF(M414&gt;0,N414*100/M414,0)</f>
        <v>100.00000001432504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601</v>
      </c>
      <c r="K417" s="566">
        <f t="shared" ref="K417:K418" ca="1" si="213">IF(I417&gt;0,J417*100/I417,0)</f>
        <v>102.73504273504274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6"/>
      <c r="B419" s="147"/>
      <c r="C419" s="147" t="s">
        <v>16</v>
      </c>
      <c r="D419" s="894" t="s">
        <v>17</v>
      </c>
      <c r="E419" s="889"/>
      <c r="F419" s="889"/>
      <c r="G419" s="150"/>
      <c r="H419" s="274" t="s">
        <v>12</v>
      </c>
      <c r="I419" s="152"/>
      <c r="J419" s="152"/>
      <c r="K419" s="153"/>
      <c r="L419" s="154">
        <f t="shared" ref="L419:N419" ca="1" si="215">L420+L421</f>
        <v>2120670</v>
      </c>
      <c r="M419" s="154">
        <f t="shared" ca="1" si="215"/>
        <v>2223639.56</v>
      </c>
      <c r="N419" s="154">
        <f t="shared" ca="1" si="215"/>
        <v>2223639.56</v>
      </c>
      <c r="O419" s="154">
        <f t="shared" ref="O419:O424" ca="1" si="216">IF(L419&gt;0,N419*100/L419,0)</f>
        <v>104.85552018937412</v>
      </c>
      <c r="P419" s="154">
        <f t="shared" ref="P419:P424" ca="1" si="217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20.25" hidden="1" customHeight="1">
      <c r="A420" s="155"/>
      <c r="B420" s="39"/>
      <c r="C420" s="39"/>
      <c r="D420" s="367"/>
      <c r="E420" s="40" t="s">
        <v>184</v>
      </c>
      <c r="F420" s="39"/>
      <c r="G420" s="156"/>
      <c r="H420" s="164" t="s">
        <v>12</v>
      </c>
      <c r="I420" s="43"/>
      <c r="J420" s="43"/>
      <c r="K420" s="44"/>
      <c r="L420" s="44">
        <f t="shared" ref="L420:N420" si="218">L423+L430</f>
        <v>0</v>
      </c>
      <c r="M420" s="44">
        <f t="shared" si="218"/>
        <v>0</v>
      </c>
      <c r="N420" s="44">
        <f t="shared" si="218"/>
        <v>0</v>
      </c>
      <c r="O420" s="44">
        <f t="shared" si="216"/>
        <v>0</v>
      </c>
      <c r="P420" s="44">
        <f t="shared" si="217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0.25" hidden="1" customHeight="1">
      <c r="A421" s="155"/>
      <c r="B421" s="39"/>
      <c r="C421" s="39"/>
      <c r="D421" s="367"/>
      <c r="E421" s="40" t="s">
        <v>185</v>
      </c>
      <c r="F421" s="39"/>
      <c r="G421" s="156"/>
      <c r="H421" s="164" t="s">
        <v>12</v>
      </c>
      <c r="I421" s="43"/>
      <c r="J421" s="43"/>
      <c r="K421" s="44"/>
      <c r="L421" s="44">
        <f t="shared" ref="L421:N421" ca="1" si="219">L424+L431</f>
        <v>2120670</v>
      </c>
      <c r="M421" s="44">
        <f t="shared" ca="1" si="219"/>
        <v>2223639.56</v>
      </c>
      <c r="N421" s="44">
        <f t="shared" ca="1" si="219"/>
        <v>2223639.56</v>
      </c>
      <c r="O421" s="44">
        <f t="shared" ca="1" si="216"/>
        <v>104.85552018937412</v>
      </c>
      <c r="P421" s="44">
        <f t="shared" ca="1" si="217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0.25" customHeight="1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61"/>
      <c r="J422" s="161"/>
      <c r="K422" s="162"/>
      <c r="L422" s="37">
        <f t="shared" ref="L422:N422" ca="1" si="220">L423+L424</f>
        <v>2120670</v>
      </c>
      <c r="M422" s="37">
        <f t="shared" ca="1" si="220"/>
        <v>2223639.56</v>
      </c>
      <c r="N422" s="37">
        <f t="shared" ca="1" si="220"/>
        <v>2223639.56</v>
      </c>
      <c r="O422" s="37">
        <f t="shared" ca="1" si="216"/>
        <v>104.85552018937412</v>
      </c>
      <c r="P422" s="37">
        <f t="shared" ca="1" si="217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20.25" hidden="1" customHeight="1">
      <c r="A423" s="155"/>
      <c r="B423" s="39"/>
      <c r="C423" s="39"/>
      <c r="D423" s="367"/>
      <c r="E423" s="40" t="s">
        <v>184</v>
      </c>
      <c r="F423" s="39"/>
      <c r="G423" s="156"/>
      <c r="H423" s="164" t="s">
        <v>12</v>
      </c>
      <c r="I423" s="43"/>
      <c r="J423" s="43"/>
      <c r="K423" s="44"/>
      <c r="L423" s="92">
        <v>0</v>
      </c>
      <c r="M423" s="92">
        <v>0</v>
      </c>
      <c r="N423" s="92">
        <v>0</v>
      </c>
      <c r="O423" s="44">
        <f t="shared" si="216"/>
        <v>0</v>
      </c>
      <c r="P423" s="44">
        <f t="shared" si="217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0.25" hidden="1" customHeight="1">
      <c r="A424" s="155"/>
      <c r="B424" s="39"/>
      <c r="C424" s="39"/>
      <c r="D424" s="367"/>
      <c r="E424" s="40" t="s">
        <v>185</v>
      </c>
      <c r="F424" s="39"/>
      <c r="G424" s="156"/>
      <c r="H424" s="164" t="s">
        <v>12</v>
      </c>
      <c r="I424" s="43"/>
      <c r="J424" s="43"/>
      <c r="K424" s="44"/>
      <c r="L424" s="44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"),2120670)</f>
        <v>2120670</v>
      </c>
      <c r="M424" s="92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"),2223639.56)</f>
        <v>2223639.56</v>
      </c>
      <c r="N424" s="44">
        <f ca="1">N425+N426+N427+N428</f>
        <v>2223639.56</v>
      </c>
      <c r="O424" s="44">
        <f t="shared" ca="1" si="216"/>
        <v>104.85552018937412</v>
      </c>
      <c r="P424" s="44">
        <f t="shared" ca="1" si="217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8"/>
      <c r="H425" s="160" t="s">
        <v>12</v>
      </c>
      <c r="I425" s="36"/>
      <c r="J425" s="36"/>
      <c r="K425" s="37"/>
      <c r="L425" s="37"/>
      <c r="M425" s="37"/>
      <c r="N425" s="283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"),1611992.02)</f>
        <v>1611992.02</v>
      </c>
      <c r="O425" s="37"/>
      <c r="P425" s="3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8"/>
      <c r="H426" s="160" t="s">
        <v>12</v>
      </c>
      <c r="I426" s="36"/>
      <c r="J426" s="36"/>
      <c r="K426" s="37"/>
      <c r="L426" s="37"/>
      <c r="M426" s="37"/>
      <c r="N426" s="283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"),0)</f>
        <v>0</v>
      </c>
      <c r="O426" s="37"/>
      <c r="P426" s="3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8"/>
      <c r="H427" s="160" t="s">
        <v>12</v>
      </c>
      <c r="I427" s="36"/>
      <c r="J427" s="36"/>
      <c r="K427" s="37"/>
      <c r="L427" s="37"/>
      <c r="M427" s="37"/>
      <c r="N427" s="283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7"/>
      <c r="P427" s="3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4"/>
      <c r="B428" s="280"/>
      <c r="C428" s="32"/>
      <c r="D428" s="32"/>
      <c r="E428" s="32"/>
      <c r="F428" s="211" t="s">
        <v>189</v>
      </c>
      <c r="G428" s="213"/>
      <c r="H428" s="160" t="s">
        <v>12</v>
      </c>
      <c r="I428" s="36"/>
      <c r="J428" s="36"/>
      <c r="K428" s="37"/>
      <c r="L428" s="37"/>
      <c r="M428" s="37"/>
      <c r="N428" s="283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"),611647.54)</f>
        <v>611647.54</v>
      </c>
      <c r="O428" s="37"/>
      <c r="P428" s="3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20.25" customHeight="1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61"/>
      <c r="J429" s="161"/>
      <c r="K429" s="162"/>
      <c r="L429" s="37">
        <f t="shared" ref="L429:N429" ca="1" si="221">L430+L431</f>
        <v>0</v>
      </c>
      <c r="M429" s="37">
        <f t="shared" si="221"/>
        <v>0</v>
      </c>
      <c r="N429" s="37">
        <f t="shared" si="221"/>
        <v>0</v>
      </c>
      <c r="O429" s="37">
        <f t="shared" ref="O429:O431" ca="1" si="222">IF(L429&gt;0,N429*100/L429,0)</f>
        <v>0</v>
      </c>
      <c r="P429" s="37">
        <f t="shared" ref="P429:P431" si="223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20.25" hidden="1" customHeight="1">
      <c r="A430" s="155"/>
      <c r="B430" s="356"/>
      <c r="C430" s="39"/>
      <c r="D430" s="39"/>
      <c r="E430" s="40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44">
        <f t="shared" si="222"/>
        <v>0</v>
      </c>
      <c r="P430" s="44">
        <f t="shared" si="223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0.25" hidden="1" customHeight="1">
      <c r="A431" s="155"/>
      <c r="B431" s="356"/>
      <c r="C431" s="39"/>
      <c r="D431" s="39"/>
      <c r="E431" s="40" t="s">
        <v>19</v>
      </c>
      <c r="F431" s="39"/>
      <c r="G431" s="41"/>
      <c r="H431" s="168" t="s">
        <v>12</v>
      </c>
      <c r="I431" s="165"/>
      <c r="J431" s="165"/>
      <c r="K431" s="166"/>
      <c r="L431" s="44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2">
        <v>0</v>
      </c>
      <c r="N431" s="92">
        <v>0</v>
      </c>
      <c r="O431" s="44">
        <f t="shared" ca="1" si="222"/>
        <v>0</v>
      </c>
      <c r="P431" s="44">
        <f t="shared" si="223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0.25" customHeight="1">
      <c r="A432" s="413"/>
      <c r="B432" s="414"/>
      <c r="C432" s="147" t="s">
        <v>16</v>
      </c>
      <c r="D432" s="574" t="s">
        <v>38</v>
      </c>
      <c r="E432" s="575"/>
      <c r="F432" s="575"/>
      <c r="G432" s="576"/>
      <c r="H432" s="577"/>
      <c r="I432" s="152"/>
      <c r="J432" s="152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20.25" customHeight="1">
      <c r="A433" s="169"/>
      <c r="B433" s="170"/>
      <c r="C433" s="170"/>
      <c r="D433" s="185" t="s">
        <v>190</v>
      </c>
      <c r="E433" s="177"/>
      <c r="F433" s="177"/>
      <c r="G433" s="178"/>
      <c r="H433" s="195" t="s">
        <v>35</v>
      </c>
      <c r="I433" s="193">
        <f ca="1">I435</f>
        <v>585</v>
      </c>
      <c r="J433" s="193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"),601)</f>
        <v>601</v>
      </c>
      <c r="K433" s="194">
        <f t="shared" ref="K433:K435" ca="1" si="224">IF(I433&gt;0,J433*100/I433,0)</f>
        <v>102.73504273504274</v>
      </c>
      <c r="L433" s="37"/>
      <c r="M433" s="37"/>
      <c r="N433" s="37"/>
      <c r="O433" s="37"/>
      <c r="P433" s="3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20.25" customHeight="1">
      <c r="A434" s="169"/>
      <c r="B434" s="170"/>
      <c r="C434" s="170"/>
      <c r="D434" s="185" t="s">
        <v>191</v>
      </c>
      <c r="E434" s="177"/>
      <c r="F434" s="177"/>
      <c r="G434" s="178"/>
      <c r="H434" s="195" t="s">
        <v>49</v>
      </c>
      <c r="I434" s="193">
        <f t="shared" ref="I434:J434" ca="1" si="225">I438+I440</f>
        <v>27</v>
      </c>
      <c r="J434" s="193">
        <f t="shared" ca="1" si="225"/>
        <v>29</v>
      </c>
      <c r="K434" s="194">
        <f t="shared" ca="1" si="224"/>
        <v>107.4074074074074</v>
      </c>
      <c r="L434" s="37"/>
      <c r="M434" s="37"/>
      <c r="N434" s="37"/>
      <c r="O434" s="37"/>
      <c r="P434" s="3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20.25" customHeight="1">
      <c r="A435" s="169"/>
      <c r="B435" s="170"/>
      <c r="C435" s="170"/>
      <c r="D435" s="180" t="s">
        <v>192</v>
      </c>
      <c r="E435" s="177"/>
      <c r="F435" s="177"/>
      <c r="G435" s="178"/>
      <c r="H435" s="35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"),601)</f>
        <v>601</v>
      </c>
      <c r="K435" s="497">
        <f t="shared" ca="1" si="224"/>
        <v>102.73504273504274</v>
      </c>
      <c r="L435" s="37"/>
      <c r="M435" s="37"/>
      <c r="N435" s="37"/>
      <c r="O435" s="37"/>
      <c r="P435" s="3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20.25" customHeight="1">
      <c r="A436" s="169"/>
      <c r="B436" s="170"/>
      <c r="C436" s="170"/>
      <c r="D436" s="180" t="s">
        <v>193</v>
      </c>
      <c r="E436" s="177"/>
      <c r="F436" s="177"/>
      <c r="G436" s="178"/>
      <c r="H436" s="35"/>
      <c r="I436" s="36"/>
      <c r="J436" s="36"/>
      <c r="K436" s="37"/>
      <c r="L436" s="37"/>
      <c r="M436" s="37"/>
      <c r="N436" s="37"/>
      <c r="O436" s="37"/>
      <c r="P436" s="3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20.25" customHeight="1">
      <c r="A437" s="169"/>
      <c r="B437" s="170"/>
      <c r="C437" s="170"/>
      <c r="D437" s="180" t="s">
        <v>194</v>
      </c>
      <c r="E437" s="177"/>
      <c r="F437" s="177"/>
      <c r="G437" s="178"/>
      <c r="H437" s="35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7"/>
      <c r="M437" s="37"/>
      <c r="N437" s="37"/>
      <c r="O437" s="37"/>
      <c r="P437" s="3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20.25" customHeight="1">
      <c r="A438" s="169"/>
      <c r="B438" s="170"/>
      <c r="C438" s="170"/>
      <c r="D438" s="180" t="s">
        <v>195</v>
      </c>
      <c r="E438" s="177"/>
      <c r="F438" s="177"/>
      <c r="G438" s="178"/>
      <c r="H438" s="35" t="s">
        <v>49</v>
      </c>
      <c r="I438" s="36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2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7">
        <f t="shared" ca="1" si="226"/>
        <v>100</v>
      </c>
      <c r="L438" s="37"/>
      <c r="M438" s="37"/>
      <c r="N438" s="37"/>
      <c r="O438" s="37"/>
      <c r="P438" s="3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20.25" customHeight="1">
      <c r="A439" s="169"/>
      <c r="B439" s="170"/>
      <c r="C439" s="170"/>
      <c r="D439" s="180" t="s">
        <v>196</v>
      </c>
      <c r="E439" s="177"/>
      <c r="F439" s="177"/>
      <c r="G439" s="178"/>
      <c r="H439" s="35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7"/>
      <c r="M439" s="37"/>
      <c r="N439" s="37"/>
      <c r="O439" s="37"/>
      <c r="P439" s="3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20.25" customHeight="1">
      <c r="A440" s="169"/>
      <c r="B440" s="170"/>
      <c r="C440" s="170"/>
      <c r="D440" s="180" t="s">
        <v>197</v>
      </c>
      <c r="E440" s="177"/>
      <c r="F440" s="177"/>
      <c r="G440" s="178"/>
      <c r="H440" s="35" t="s">
        <v>49</v>
      </c>
      <c r="I440" s="36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2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7">
        <f t="shared" ca="1" si="226"/>
        <v>109.09090909090909</v>
      </c>
      <c r="L440" s="37"/>
      <c r="M440" s="37"/>
      <c r="N440" s="37"/>
      <c r="O440" s="37"/>
      <c r="P440" s="3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20.25" customHeight="1">
      <c r="A441" s="169"/>
      <c r="B441" s="170"/>
      <c r="C441" s="170"/>
      <c r="D441" s="180" t="s">
        <v>198</v>
      </c>
      <c r="E441" s="177"/>
      <c r="F441" s="177"/>
      <c r="G441" s="178"/>
      <c r="H441" s="35" t="s">
        <v>35</v>
      </c>
      <c r="I441" s="36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69">
        <v>0</v>
      </c>
      <c r="K441" s="37">
        <f t="shared" ca="1" si="226"/>
        <v>0</v>
      </c>
      <c r="L441" s="37"/>
      <c r="M441" s="37"/>
      <c r="N441" s="37"/>
      <c r="O441" s="37"/>
      <c r="P441" s="3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675</v>
      </c>
      <c r="K443" s="566">
        <f t="shared" ca="1" si="226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86" t="s">
        <v>17</v>
      </c>
      <c r="E444" s="887"/>
      <c r="F444" s="887"/>
      <c r="G444" s="188"/>
      <c r="H444" s="593" t="s">
        <v>12</v>
      </c>
      <c r="I444" s="36"/>
      <c r="J444" s="36"/>
      <c r="K444" s="37"/>
      <c r="L444" s="194">
        <f t="shared" ref="L444:N444" ca="1" si="229">L445+L446</f>
        <v>2157420</v>
      </c>
      <c r="M444" s="194">
        <f t="shared" ca="1" si="229"/>
        <v>2215831.2400000002</v>
      </c>
      <c r="N444" s="194">
        <f t="shared" ca="1" si="229"/>
        <v>2215831.2400000002</v>
      </c>
      <c r="O444" s="194">
        <f t="shared" ref="O444:O449" ca="1" si="230">IF(L444&gt;0,N444*100/L444,0)</f>
        <v>102.70745798221952</v>
      </c>
      <c r="P444" s="194">
        <f t="shared" ref="P444:P449" ca="1" si="231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4" t="s">
        <v>12</v>
      </c>
      <c r="I445" s="43"/>
      <c r="J445" s="43"/>
      <c r="K445" s="44"/>
      <c r="L445" s="44">
        <f t="shared" ref="L445:N445" si="232">L448+L455</f>
        <v>0</v>
      </c>
      <c r="M445" s="44">
        <f t="shared" si="232"/>
        <v>0</v>
      </c>
      <c r="N445" s="44">
        <f t="shared" si="232"/>
        <v>0</v>
      </c>
      <c r="O445" s="44">
        <f t="shared" si="230"/>
        <v>0</v>
      </c>
      <c r="P445" s="44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4" t="s">
        <v>12</v>
      </c>
      <c r="I446" s="43"/>
      <c r="J446" s="43"/>
      <c r="K446" s="44"/>
      <c r="L446" s="44">
        <f t="shared" ref="L446:N446" ca="1" si="233">L449+L456</f>
        <v>2157420</v>
      </c>
      <c r="M446" s="44">
        <f t="shared" ca="1" si="233"/>
        <v>2215831.2400000002</v>
      </c>
      <c r="N446" s="44">
        <f t="shared" ca="1" si="233"/>
        <v>2215831.2400000002</v>
      </c>
      <c r="O446" s="44">
        <f t="shared" ca="1" si="230"/>
        <v>102.70745798221952</v>
      </c>
      <c r="P446" s="44">
        <f t="shared" ca="1" si="231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8"/>
      <c r="H447" s="160" t="s">
        <v>12</v>
      </c>
      <c r="I447" s="161"/>
      <c r="J447" s="161"/>
      <c r="K447" s="162"/>
      <c r="L447" s="37">
        <f t="shared" ref="L447:N447" ca="1" si="234">L448+L449</f>
        <v>2157420</v>
      </c>
      <c r="M447" s="37">
        <f t="shared" ca="1" si="234"/>
        <v>2215831.2400000002</v>
      </c>
      <c r="N447" s="37">
        <f t="shared" ca="1" si="234"/>
        <v>2215831.2400000002</v>
      </c>
      <c r="O447" s="37">
        <f t="shared" ca="1" si="230"/>
        <v>102.70745798221952</v>
      </c>
      <c r="P447" s="37">
        <f t="shared" ca="1" si="231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4" t="s">
        <v>12</v>
      </c>
      <c r="I448" s="43"/>
      <c r="J448" s="43"/>
      <c r="K448" s="44"/>
      <c r="L448" s="92">
        <v>0</v>
      </c>
      <c r="M448" s="92">
        <v>0</v>
      </c>
      <c r="N448" s="92">
        <v>0</v>
      </c>
      <c r="O448" s="44">
        <f t="shared" si="230"/>
        <v>0</v>
      </c>
      <c r="P448" s="44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4" t="s">
        <v>12</v>
      </c>
      <c r="I449" s="43"/>
      <c r="J449" s="43"/>
      <c r="K449" s="44"/>
      <c r="L449" s="44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"),2157420)</f>
        <v>2157420</v>
      </c>
      <c r="M449" s="92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"),2215831.24)</f>
        <v>2215831.2400000002</v>
      </c>
      <c r="N449" s="44">
        <f ca="1">N450+N451+N452+N453</f>
        <v>2215831.2400000002</v>
      </c>
      <c r="O449" s="44">
        <f t="shared" ca="1" si="230"/>
        <v>102.70745798221952</v>
      </c>
      <c r="P449" s="44">
        <f t="shared" ca="1" si="231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8"/>
      <c r="H450" s="160" t="s">
        <v>12</v>
      </c>
      <c r="I450" s="36"/>
      <c r="J450" s="36"/>
      <c r="K450" s="37"/>
      <c r="L450" s="37"/>
      <c r="M450" s="37"/>
      <c r="N450" s="283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"),594560)</f>
        <v>594560</v>
      </c>
      <c r="O450" s="37"/>
      <c r="P450" s="3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8"/>
      <c r="H451" s="160" t="s">
        <v>12</v>
      </c>
      <c r="I451" s="36"/>
      <c r="J451" s="36"/>
      <c r="K451" s="37"/>
      <c r="L451" s="37"/>
      <c r="M451" s="37"/>
      <c r="N451" s="283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"),743303)</f>
        <v>743303</v>
      </c>
      <c r="O451" s="37"/>
      <c r="P451" s="3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8"/>
      <c r="H452" s="160" t="s">
        <v>12</v>
      </c>
      <c r="I452" s="36"/>
      <c r="J452" s="36"/>
      <c r="K452" s="37"/>
      <c r="L452" s="37"/>
      <c r="M452" s="37"/>
      <c r="N452" s="283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"),569846.24)</f>
        <v>569846.24</v>
      </c>
      <c r="O452" s="37"/>
      <c r="P452" s="3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8"/>
      <c r="H453" s="160" t="s">
        <v>12</v>
      </c>
      <c r="I453" s="36"/>
      <c r="J453" s="36"/>
      <c r="K453" s="37"/>
      <c r="L453" s="37"/>
      <c r="M453" s="37"/>
      <c r="N453" s="283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"),308122)</f>
        <v>308122</v>
      </c>
      <c r="O453" s="37"/>
      <c r="P453" s="3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8"/>
      <c r="H454" s="167" t="s">
        <v>12</v>
      </c>
      <c r="I454" s="161"/>
      <c r="J454" s="161"/>
      <c r="K454" s="162"/>
      <c r="L454" s="37">
        <f t="shared" ref="L454:N454" ca="1" si="235">L455+L456</f>
        <v>0</v>
      </c>
      <c r="M454" s="37">
        <f t="shared" si="235"/>
        <v>0</v>
      </c>
      <c r="N454" s="37">
        <f t="shared" si="235"/>
        <v>0</v>
      </c>
      <c r="O454" s="37">
        <f t="shared" ref="O454:O456" ca="1" si="236">IF(L454&gt;0,N454*100/L454,0)</f>
        <v>0</v>
      </c>
      <c r="P454" s="37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44">
        <f t="shared" si="236"/>
        <v>0</v>
      </c>
      <c r="P455" s="44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8" t="s">
        <v>12</v>
      </c>
      <c r="I456" s="165"/>
      <c r="J456" s="165"/>
      <c r="K456" s="166"/>
      <c r="L456" s="44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2">
        <v>0</v>
      </c>
      <c r="N456" s="92">
        <v>0</v>
      </c>
      <c r="O456" s="44">
        <f t="shared" ca="1" si="236"/>
        <v>0</v>
      </c>
      <c r="P456" s="44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4"/>
      <c r="I457" s="36"/>
      <c r="J457" s="36"/>
      <c r="K457" s="37"/>
      <c r="L457" s="37"/>
      <c r="M457" s="37"/>
      <c r="N457" s="37"/>
      <c r="O457" s="37"/>
      <c r="P457" s="3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5"/>
      <c r="H458" s="369" t="s">
        <v>35</v>
      </c>
      <c r="I458" s="612">
        <v>0</v>
      </c>
      <c r="J458" s="612">
        <v>0</v>
      </c>
      <c r="K458" s="44">
        <f>IF(I458&gt;0,J458*100/I458,0)</f>
        <v>0</v>
      </c>
      <c r="L458" s="44"/>
      <c r="M458" s="44"/>
      <c r="N458" s="44"/>
      <c r="O458" s="44"/>
      <c r="P458" s="44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5"/>
      <c r="H459" s="369"/>
      <c r="I459" s="43"/>
      <c r="J459" s="43"/>
      <c r="K459" s="44"/>
      <c r="L459" s="44"/>
      <c r="M459" s="44"/>
      <c r="N459" s="44"/>
      <c r="O459" s="44"/>
      <c r="P459" s="44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4"/>
      <c r="H460" s="181" t="s">
        <v>35</v>
      </c>
      <c r="I460" s="36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2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7">
        <f ca="1">IF(I460&gt;0,J460*100/I460,0)</f>
        <v>100</v>
      </c>
      <c r="L460" s="37"/>
      <c r="M460" s="37"/>
      <c r="N460" s="37"/>
      <c r="O460" s="37"/>
      <c r="P460" s="3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4"/>
      <c r="H461" s="181"/>
      <c r="I461" s="36"/>
      <c r="J461" s="36"/>
      <c r="K461" s="37"/>
      <c r="L461" s="37"/>
      <c r="M461" s="37"/>
      <c r="N461" s="37"/>
      <c r="O461" s="37"/>
      <c r="P461" s="3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4"/>
      <c r="H462" s="181" t="s">
        <v>46</v>
      </c>
      <c r="I462" s="36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2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"),675)</f>
        <v>675</v>
      </c>
      <c r="K462" s="37">
        <f ca="1">IF(I462&gt;0,J462*100/I462,0)</f>
        <v>100</v>
      </c>
      <c r="L462" s="37"/>
      <c r="M462" s="37"/>
      <c r="N462" s="37"/>
      <c r="O462" s="37"/>
      <c r="P462" s="3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8"/>
      <c r="H463" s="181" t="s">
        <v>46</v>
      </c>
      <c r="I463" s="269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2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"),675)</f>
        <v>675</v>
      </c>
      <c r="K463" s="37"/>
      <c r="L463" s="37"/>
      <c r="M463" s="37"/>
      <c r="N463" s="37"/>
      <c r="O463" s="37"/>
      <c r="P463" s="3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1" t="s">
        <v>35</v>
      </c>
      <c r="I464" s="269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2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"),330)</f>
        <v>330</v>
      </c>
      <c r="K464" s="37"/>
      <c r="L464" s="37"/>
      <c r="M464" s="37"/>
      <c r="N464" s="37"/>
      <c r="O464" s="37"/>
      <c r="P464" s="3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843</v>
      </c>
      <c r="K465" s="586">
        <f t="shared" ref="K465:K466" ca="1" si="238">IF(I465&gt;0,J465*100/I465,0)</f>
        <v>102.18181818181819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6800</v>
      </c>
      <c r="K466" s="566">
        <f t="shared" ca="1" si="238"/>
        <v>83.950617283950621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86" t="s">
        <v>17</v>
      </c>
      <c r="E467" s="887"/>
      <c r="F467" s="887"/>
      <c r="G467" s="188"/>
      <c r="H467" s="593" t="s">
        <v>12</v>
      </c>
      <c r="I467" s="36"/>
      <c r="J467" s="36"/>
      <c r="K467" s="37"/>
      <c r="L467" s="194">
        <f t="shared" ref="L467:N467" ca="1" si="239">L468+L469</f>
        <v>6956180</v>
      </c>
      <c r="M467" s="194">
        <f t="shared" ca="1" si="239"/>
        <v>6146787.0300000003</v>
      </c>
      <c r="N467" s="194">
        <f t="shared" ca="1" si="239"/>
        <v>6146787.0300000003</v>
      </c>
      <c r="O467" s="194">
        <f t="shared" ref="O467:O472" ca="1" si="240">IF(L467&gt;0,N467*100/L467,0)</f>
        <v>88.364404457618974</v>
      </c>
      <c r="P467" s="194">
        <f t="shared" ref="P467:P472" ca="1" si="241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4" t="s">
        <v>12</v>
      </c>
      <c r="I468" s="43"/>
      <c r="J468" s="43"/>
      <c r="K468" s="44"/>
      <c r="L468" s="44">
        <f t="shared" ref="L468:N468" si="242">L471+L478</f>
        <v>0</v>
      </c>
      <c r="M468" s="44">
        <f t="shared" si="242"/>
        <v>0</v>
      </c>
      <c r="N468" s="44">
        <f t="shared" si="242"/>
        <v>0</v>
      </c>
      <c r="O468" s="44">
        <f t="shared" si="240"/>
        <v>0</v>
      </c>
      <c r="P468" s="44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4" t="s">
        <v>12</v>
      </c>
      <c r="I469" s="43"/>
      <c r="J469" s="43"/>
      <c r="K469" s="44"/>
      <c r="L469" s="44">
        <f t="shared" ref="L469:N469" ca="1" si="243">L472+L479</f>
        <v>6956180</v>
      </c>
      <c r="M469" s="44">
        <f t="shared" ca="1" si="243"/>
        <v>6146787.0300000003</v>
      </c>
      <c r="N469" s="44">
        <f t="shared" ca="1" si="243"/>
        <v>6146787.0300000003</v>
      </c>
      <c r="O469" s="44">
        <f t="shared" ca="1" si="240"/>
        <v>88.364404457618974</v>
      </c>
      <c r="P469" s="44">
        <f t="shared" ca="1" si="241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8"/>
      <c r="H470" s="160" t="s">
        <v>12</v>
      </c>
      <c r="I470" s="161"/>
      <c r="J470" s="161"/>
      <c r="K470" s="162"/>
      <c r="L470" s="37">
        <f t="shared" ref="L470:N470" ca="1" si="244">L471+L472</f>
        <v>6956180</v>
      </c>
      <c r="M470" s="37">
        <f t="shared" ca="1" si="244"/>
        <v>6146787.0300000003</v>
      </c>
      <c r="N470" s="37">
        <f t="shared" ca="1" si="244"/>
        <v>6146787.0300000003</v>
      </c>
      <c r="O470" s="37">
        <f t="shared" ca="1" si="240"/>
        <v>88.364404457618974</v>
      </c>
      <c r="P470" s="37">
        <f t="shared" ca="1" si="241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4" t="s">
        <v>12</v>
      </c>
      <c r="I471" s="43"/>
      <c r="J471" s="43"/>
      <c r="K471" s="44"/>
      <c r="L471" s="92">
        <v>0</v>
      </c>
      <c r="M471" s="92">
        <v>0</v>
      </c>
      <c r="N471" s="92">
        <v>0</v>
      </c>
      <c r="O471" s="44">
        <f t="shared" si="240"/>
        <v>0</v>
      </c>
      <c r="P471" s="44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4" t="s">
        <v>12</v>
      </c>
      <c r="I472" s="43"/>
      <c r="J472" s="43"/>
      <c r="K472" s="44"/>
      <c r="L472" s="44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"),6956180)</f>
        <v>6956180</v>
      </c>
      <c r="M472" s="92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"),6146787.03)</f>
        <v>6146787.0300000003</v>
      </c>
      <c r="N472" s="44">
        <f ca="1">N473+N474+N475+N476</f>
        <v>6146787.0300000003</v>
      </c>
      <c r="O472" s="44">
        <f t="shared" ca="1" si="240"/>
        <v>88.364404457618974</v>
      </c>
      <c r="P472" s="44">
        <f t="shared" ca="1" si="241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8"/>
      <c r="H473" s="160" t="s">
        <v>12</v>
      </c>
      <c r="I473" s="36"/>
      <c r="J473" s="36"/>
      <c r="K473" s="37"/>
      <c r="L473" s="37"/>
      <c r="M473" s="37"/>
      <c r="N473" s="283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"),1072167)</f>
        <v>1072167</v>
      </c>
      <c r="O473" s="37"/>
      <c r="P473" s="3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8"/>
      <c r="H474" s="160" t="s">
        <v>12</v>
      </c>
      <c r="I474" s="36"/>
      <c r="J474" s="36"/>
      <c r="K474" s="37"/>
      <c r="L474" s="37"/>
      <c r="M474" s="37"/>
      <c r="N474" s="283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"),4236410)</f>
        <v>4236410</v>
      </c>
      <c r="O474" s="37"/>
      <c r="P474" s="3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8"/>
      <c r="H475" s="160" t="s">
        <v>12</v>
      </c>
      <c r="I475" s="36"/>
      <c r="J475" s="36"/>
      <c r="K475" s="37"/>
      <c r="L475" s="37"/>
      <c r="M475" s="37"/>
      <c r="N475" s="283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"),427380.03)</f>
        <v>427380.03</v>
      </c>
      <c r="O475" s="37"/>
      <c r="P475" s="3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8"/>
      <c r="H476" s="160" t="s">
        <v>12</v>
      </c>
      <c r="I476" s="36"/>
      <c r="J476" s="36"/>
      <c r="K476" s="37"/>
      <c r="L476" s="37"/>
      <c r="M476" s="37"/>
      <c r="N476" s="283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"),410830)</f>
        <v>410830</v>
      </c>
      <c r="O476" s="37"/>
      <c r="P476" s="3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61"/>
      <c r="J477" s="161"/>
      <c r="K477" s="162"/>
      <c r="L477" s="37">
        <f t="shared" ref="L477:N477" ca="1" si="245">L478+L479</f>
        <v>0</v>
      </c>
      <c r="M477" s="37">
        <f t="shared" si="245"/>
        <v>0</v>
      </c>
      <c r="N477" s="37">
        <f t="shared" si="245"/>
        <v>0</v>
      </c>
      <c r="O477" s="37">
        <f t="shared" ref="O477:O479" ca="1" si="246">IF(L477&gt;0,N477*100/L477,0)</f>
        <v>0</v>
      </c>
      <c r="P477" s="37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44">
        <f t="shared" si="246"/>
        <v>0</v>
      </c>
      <c r="P478" s="44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8" t="s">
        <v>12</v>
      </c>
      <c r="I479" s="165"/>
      <c r="J479" s="165"/>
      <c r="K479" s="166"/>
      <c r="L479" s="44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2">
        <v>0</v>
      </c>
      <c r="N479" s="92">
        <v>0</v>
      </c>
      <c r="O479" s="44">
        <f t="shared" ca="1" si="246"/>
        <v>0</v>
      </c>
      <c r="P479" s="44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4"/>
      <c r="I480" s="36"/>
      <c r="J480" s="36"/>
      <c r="K480" s="37"/>
      <c r="L480" s="37"/>
      <c r="M480" s="37"/>
      <c r="N480" s="37"/>
      <c r="O480" s="37"/>
      <c r="P480" s="3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4"/>
      <c r="H481" s="188"/>
      <c r="I481" s="36"/>
      <c r="J481" s="36"/>
      <c r="K481" s="37"/>
      <c r="L481" s="37"/>
      <c r="M481" s="37"/>
      <c r="N481" s="37"/>
      <c r="O481" s="37"/>
      <c r="P481" s="3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4"/>
      <c r="H482" s="188"/>
      <c r="I482" s="36"/>
      <c r="J482" s="36"/>
      <c r="K482" s="37"/>
      <c r="L482" s="37"/>
      <c r="M482" s="37"/>
      <c r="N482" s="37"/>
      <c r="O482" s="37"/>
      <c r="P482" s="3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4"/>
      <c r="H483" s="35" t="s">
        <v>46</v>
      </c>
      <c r="I483" s="36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2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7">
        <f ca="1">IF(I483&gt;0,J483*100/I483,0)</f>
        <v>99.314128943758575</v>
      </c>
      <c r="L483" s="37"/>
      <c r="M483" s="37"/>
      <c r="N483" s="37"/>
      <c r="O483" s="37"/>
      <c r="P483" s="3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4"/>
      <c r="H484" s="35" t="s">
        <v>35</v>
      </c>
      <c r="I484" s="36"/>
      <c r="J484" s="182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"),443)</f>
        <v>443</v>
      </c>
      <c r="K484" s="37"/>
      <c r="L484" s="37"/>
      <c r="M484" s="37"/>
      <c r="N484" s="37"/>
      <c r="O484" s="37"/>
      <c r="P484" s="3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4"/>
      <c r="H485" s="35" t="s">
        <v>35</v>
      </c>
      <c r="I485" s="36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2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7">
        <f ca="1">IF(I485&gt;0,J485*100/I485,0)</f>
        <v>104.25240054869684</v>
      </c>
      <c r="L485" s="37"/>
      <c r="M485" s="37"/>
      <c r="N485" s="37"/>
      <c r="O485" s="37"/>
      <c r="P485" s="3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4"/>
      <c r="H486" s="35"/>
      <c r="I486" s="36"/>
      <c r="J486" s="36"/>
      <c r="K486" s="37"/>
      <c r="L486" s="37"/>
      <c r="M486" s="37"/>
      <c r="N486" s="37"/>
      <c r="O486" s="37"/>
      <c r="P486" s="3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4"/>
      <c r="H487" s="35" t="s">
        <v>46</v>
      </c>
      <c r="I487" s="36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2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7">
        <f ca="1">IF(I487&gt;0,J487*100/I487,0)</f>
        <v>81.481481481481481</v>
      </c>
      <c r="L487" s="37"/>
      <c r="M487" s="37"/>
      <c r="N487" s="37"/>
      <c r="O487" s="37"/>
      <c r="P487" s="3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4"/>
      <c r="H488" s="35" t="s">
        <v>35</v>
      </c>
      <c r="I488" s="36"/>
      <c r="J488" s="182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"),67)</f>
        <v>67</v>
      </c>
      <c r="K488" s="37"/>
      <c r="L488" s="37"/>
      <c r="M488" s="37"/>
      <c r="N488" s="37"/>
      <c r="O488" s="37"/>
      <c r="P488" s="3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4"/>
      <c r="H489" s="618" t="s">
        <v>35</v>
      </c>
      <c r="I489" s="36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2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7">
        <f ca="1">IF(I489&gt;0,J489*100/I489,0)</f>
        <v>83.950617283950621</v>
      </c>
      <c r="L489" s="37"/>
      <c r="M489" s="37"/>
      <c r="N489" s="37"/>
      <c r="O489" s="37"/>
      <c r="P489" s="3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4"/>
      <c r="H490" s="618"/>
      <c r="I490" s="36"/>
      <c r="J490" s="36"/>
      <c r="K490" s="37"/>
      <c r="L490" s="37"/>
      <c r="M490" s="37"/>
      <c r="N490" s="37"/>
      <c r="O490" s="37"/>
      <c r="P490" s="3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4"/>
      <c r="H491" s="35" t="s">
        <v>35</v>
      </c>
      <c r="I491" s="36"/>
      <c r="J491" s="182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"),10)</f>
        <v>10</v>
      </c>
      <c r="K491" s="37"/>
      <c r="L491" s="37"/>
      <c r="M491" s="37"/>
      <c r="N491" s="37"/>
      <c r="O491" s="37"/>
      <c r="P491" s="3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4"/>
      <c r="H492" s="35" t="s">
        <v>35</v>
      </c>
      <c r="I492" s="36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2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"),15)</f>
        <v>15</v>
      </c>
      <c r="K492" s="37">
        <f ca="1">IF(I492&gt;0,J492*100/I492,0)</f>
        <v>100</v>
      </c>
      <c r="L492" s="37"/>
      <c r="M492" s="37"/>
      <c r="N492" s="37"/>
      <c r="O492" s="37"/>
      <c r="P492" s="3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4"/>
      <c r="H493" s="188"/>
      <c r="I493" s="36"/>
      <c r="J493" s="36"/>
      <c r="K493" s="37"/>
      <c r="L493" s="37"/>
      <c r="M493" s="37"/>
      <c r="N493" s="37"/>
      <c r="O493" s="37"/>
      <c r="P493" s="3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4"/>
      <c r="H494" s="188"/>
      <c r="I494" s="36"/>
      <c r="J494" s="36"/>
      <c r="K494" s="37"/>
      <c r="L494" s="37"/>
      <c r="M494" s="37"/>
      <c r="N494" s="37"/>
      <c r="O494" s="37"/>
      <c r="P494" s="3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6" t="s">
        <v>215</v>
      </c>
      <c r="G495" s="174"/>
      <c r="H495" s="35" t="s">
        <v>46</v>
      </c>
      <c r="I495" s="36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2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"),6250)</f>
        <v>6250</v>
      </c>
      <c r="K495" s="37">
        <f ca="1">IF(I495&gt;0,J495*100/I495,0)</f>
        <v>85.733882030178322</v>
      </c>
      <c r="L495" s="37"/>
      <c r="M495" s="37"/>
      <c r="N495" s="37"/>
      <c r="O495" s="37"/>
      <c r="P495" s="3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6" t="s">
        <v>216</v>
      </c>
      <c r="G496" s="174"/>
      <c r="H496" s="35" t="s">
        <v>46</v>
      </c>
      <c r="I496" s="36"/>
      <c r="J496" s="182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"),2736)</f>
        <v>2736</v>
      </c>
      <c r="K496" s="37"/>
      <c r="L496" s="37"/>
      <c r="M496" s="37"/>
      <c r="N496" s="37"/>
      <c r="O496" s="37"/>
      <c r="P496" s="3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4"/>
      <c r="H497" s="188"/>
      <c r="I497" s="36"/>
      <c r="J497" s="36"/>
      <c r="K497" s="37"/>
      <c r="L497" s="37"/>
      <c r="M497" s="37"/>
      <c r="N497" s="37"/>
      <c r="O497" s="37"/>
      <c r="P497" s="3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4"/>
      <c r="H498" s="35" t="s">
        <v>46</v>
      </c>
      <c r="I498" s="36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2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"),550)</f>
        <v>550</v>
      </c>
      <c r="K498" s="37">
        <f ca="1">IF(I498&gt;0,J498*100/I498,0)</f>
        <v>67.901234567901241</v>
      </c>
      <c r="L498" s="37"/>
      <c r="M498" s="37"/>
      <c r="N498" s="37"/>
      <c r="O498" s="37"/>
      <c r="P498" s="3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4"/>
      <c r="H499" s="35" t="s">
        <v>46</v>
      </c>
      <c r="I499" s="36"/>
      <c r="J499" s="182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"),304)</f>
        <v>304</v>
      </c>
      <c r="K499" s="37"/>
      <c r="L499" s="37"/>
      <c r="M499" s="37"/>
      <c r="N499" s="37"/>
      <c r="O499" s="37"/>
      <c r="P499" s="3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91" t="s">
        <v>17</v>
      </c>
      <c r="E502" s="887"/>
      <c r="F502" s="887"/>
      <c r="G502" s="598"/>
      <c r="H502" s="641" t="s">
        <v>12</v>
      </c>
      <c r="I502" s="43"/>
      <c r="J502" s="43"/>
      <c r="K502" s="44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4" t="s">
        <v>12</v>
      </c>
      <c r="I503" s="43"/>
      <c r="J503" s="43"/>
      <c r="K503" s="44"/>
      <c r="L503" s="44">
        <f t="shared" ref="L503:N503" si="253">L506+L513</f>
        <v>0</v>
      </c>
      <c r="M503" s="44">
        <f t="shared" si="253"/>
        <v>0</v>
      </c>
      <c r="N503" s="44">
        <f t="shared" si="253"/>
        <v>0</v>
      </c>
      <c r="O503" s="44">
        <f t="shared" si="251"/>
        <v>0</v>
      </c>
      <c r="P503" s="44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4" t="s">
        <v>12</v>
      </c>
      <c r="I504" s="43"/>
      <c r="J504" s="43"/>
      <c r="K504" s="44"/>
      <c r="L504" s="44">
        <f t="shared" ref="L504:N504" si="254">L507+L514</f>
        <v>0</v>
      </c>
      <c r="M504" s="44">
        <f t="shared" si="254"/>
        <v>0</v>
      </c>
      <c r="N504" s="44">
        <f t="shared" si="254"/>
        <v>0</v>
      </c>
      <c r="O504" s="44">
        <f t="shared" si="251"/>
        <v>0</v>
      </c>
      <c r="P504" s="44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4" t="s">
        <v>12</v>
      </c>
      <c r="I505" s="165"/>
      <c r="J505" s="165"/>
      <c r="K505" s="166"/>
      <c r="L505" s="44">
        <f t="shared" ref="L505:N505" si="255">L506+L507</f>
        <v>0</v>
      </c>
      <c r="M505" s="44">
        <f t="shared" si="255"/>
        <v>0</v>
      </c>
      <c r="N505" s="44">
        <f t="shared" si="255"/>
        <v>0</v>
      </c>
      <c r="O505" s="44">
        <f t="shared" si="251"/>
        <v>0</v>
      </c>
      <c r="P505" s="44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4" t="s">
        <v>12</v>
      </c>
      <c r="I506" s="43"/>
      <c r="J506" s="43"/>
      <c r="K506" s="44"/>
      <c r="L506" s="92">
        <v>0</v>
      </c>
      <c r="M506" s="92">
        <v>0</v>
      </c>
      <c r="N506" s="92">
        <v>0</v>
      </c>
      <c r="O506" s="44">
        <f t="shared" si="251"/>
        <v>0</v>
      </c>
      <c r="P506" s="44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4" t="s">
        <v>12</v>
      </c>
      <c r="I507" s="43"/>
      <c r="J507" s="43"/>
      <c r="K507" s="44"/>
      <c r="L507" s="92">
        <v>0</v>
      </c>
      <c r="M507" s="92">
        <v>0</v>
      </c>
      <c r="N507" s="44">
        <f>N508+N509+N510+N511</f>
        <v>0</v>
      </c>
      <c r="O507" s="44">
        <f t="shared" si="251"/>
        <v>0</v>
      </c>
      <c r="P507" s="44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186</v>
      </c>
      <c r="G508" s="598"/>
      <c r="H508" s="164" t="s">
        <v>12</v>
      </c>
      <c r="I508" s="43"/>
      <c r="J508" s="43"/>
      <c r="K508" s="44"/>
      <c r="L508" s="44"/>
      <c r="M508" s="44"/>
      <c r="N508" s="92">
        <v>0</v>
      </c>
      <c r="O508" s="44"/>
      <c r="P508" s="44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187</v>
      </c>
      <c r="G509" s="598"/>
      <c r="H509" s="164" t="s">
        <v>12</v>
      </c>
      <c r="I509" s="43"/>
      <c r="J509" s="43"/>
      <c r="K509" s="44"/>
      <c r="L509" s="44"/>
      <c r="M509" s="44"/>
      <c r="N509" s="92">
        <v>0</v>
      </c>
      <c r="O509" s="44"/>
      <c r="P509" s="44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188</v>
      </c>
      <c r="G510" s="598"/>
      <c r="H510" s="164" t="s">
        <v>12</v>
      </c>
      <c r="I510" s="43"/>
      <c r="J510" s="43"/>
      <c r="K510" s="44"/>
      <c r="L510" s="44"/>
      <c r="M510" s="44"/>
      <c r="N510" s="92">
        <v>0</v>
      </c>
      <c r="O510" s="44"/>
      <c r="P510" s="44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189</v>
      </c>
      <c r="G511" s="598"/>
      <c r="H511" s="164" t="s">
        <v>12</v>
      </c>
      <c r="I511" s="43"/>
      <c r="J511" s="43"/>
      <c r="K511" s="44"/>
      <c r="L511" s="44"/>
      <c r="M511" s="44"/>
      <c r="N511" s="92">
        <v>0</v>
      </c>
      <c r="O511" s="44"/>
      <c r="P511" s="44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8" t="s">
        <v>12</v>
      </c>
      <c r="I512" s="165"/>
      <c r="J512" s="165"/>
      <c r="K512" s="166"/>
      <c r="L512" s="44">
        <f t="shared" ref="L512:N512" si="256">L513+L514</f>
        <v>0</v>
      </c>
      <c r="M512" s="44">
        <f t="shared" si="256"/>
        <v>0</v>
      </c>
      <c r="N512" s="44">
        <f t="shared" si="256"/>
        <v>0</v>
      </c>
      <c r="O512" s="44">
        <f t="shared" ref="O512:O514" si="257">IF(L512&gt;0,N512*100/L512,0)</f>
        <v>0</v>
      </c>
      <c r="P512" s="44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44">
        <f t="shared" si="257"/>
        <v>0</v>
      </c>
      <c r="P513" s="44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44">
        <f t="shared" si="257"/>
        <v>0</v>
      </c>
      <c r="P514" s="44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5"/>
      <c r="H516" s="648" t="s">
        <v>109</v>
      </c>
      <c r="I516" s="43"/>
      <c r="J516" s="612">
        <v>0</v>
      </c>
      <c r="K516" s="166">
        <f t="shared" ref="K516:K517" si="259"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5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5"/>
      <c r="H518" s="369" t="s">
        <v>35</v>
      </c>
      <c r="I518" s="43"/>
      <c r="J518" s="43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5"/>
      <c r="H519" s="648" t="s">
        <v>35</v>
      </c>
      <c r="I519" s="43"/>
      <c r="J519" s="43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86" t="s">
        <v>17</v>
      </c>
      <c r="E523" s="887"/>
      <c r="F523" s="887"/>
      <c r="G523" s="188"/>
      <c r="H523" s="593" t="s">
        <v>12</v>
      </c>
      <c r="I523" s="36"/>
      <c r="J523" s="36"/>
      <c r="K523" s="37"/>
      <c r="L523" s="194">
        <f t="shared" ref="L523:N523" ca="1" si="261">L524+L525</f>
        <v>1282380</v>
      </c>
      <c r="M523" s="194">
        <f t="shared" ca="1" si="261"/>
        <v>1314680</v>
      </c>
      <c r="N523" s="194">
        <f t="shared" ca="1" si="261"/>
        <v>1314680</v>
      </c>
      <c r="O523" s="194">
        <f t="shared" ref="O523:O528" ca="1" si="262">IF(L523&gt;0,N523*100/L523,0)</f>
        <v>102.51875419142532</v>
      </c>
      <c r="P523" s="194">
        <f t="shared" ref="P523:P528" ca="1" si="263">IF(M523&gt;0,N523*100/M523,0)</f>
        <v>100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4" t="s">
        <v>12</v>
      </c>
      <c r="I524" s="43"/>
      <c r="J524" s="43"/>
      <c r="K524" s="44"/>
      <c r="L524" s="44">
        <f t="shared" ref="L524:N524" si="264">L527+L534</f>
        <v>0</v>
      </c>
      <c r="M524" s="44">
        <f t="shared" si="264"/>
        <v>0</v>
      </c>
      <c r="N524" s="44">
        <f t="shared" si="264"/>
        <v>0</v>
      </c>
      <c r="O524" s="44">
        <f t="shared" si="262"/>
        <v>0</v>
      </c>
      <c r="P524" s="44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4" t="s">
        <v>12</v>
      </c>
      <c r="I525" s="43"/>
      <c r="J525" s="43"/>
      <c r="K525" s="44"/>
      <c r="L525" s="44">
        <f t="shared" ref="L525:N525" ca="1" si="265">L528+L535</f>
        <v>1282380</v>
      </c>
      <c r="M525" s="44">
        <f t="shared" ca="1" si="265"/>
        <v>1314680</v>
      </c>
      <c r="N525" s="44">
        <f t="shared" ca="1" si="265"/>
        <v>1314680</v>
      </c>
      <c r="O525" s="44">
        <f t="shared" ca="1" si="262"/>
        <v>102.51875419142532</v>
      </c>
      <c r="P525" s="44">
        <f t="shared" ca="1" si="263"/>
        <v>100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8"/>
      <c r="H526" s="160" t="s">
        <v>12</v>
      </c>
      <c r="I526" s="161"/>
      <c r="J526" s="161"/>
      <c r="K526" s="162"/>
      <c r="L526" s="37">
        <f t="shared" ref="L526:N526" ca="1" si="266">L527+L528</f>
        <v>1282380</v>
      </c>
      <c r="M526" s="37">
        <f t="shared" ca="1" si="266"/>
        <v>1314680</v>
      </c>
      <c r="N526" s="37">
        <f t="shared" ca="1" si="266"/>
        <v>1314680</v>
      </c>
      <c r="O526" s="37">
        <f t="shared" ca="1" si="262"/>
        <v>102.51875419142532</v>
      </c>
      <c r="P526" s="37">
        <f t="shared" ca="1" si="263"/>
        <v>100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4" t="s">
        <v>12</v>
      </c>
      <c r="I527" s="43"/>
      <c r="J527" s="43"/>
      <c r="K527" s="44"/>
      <c r="L527" s="92">
        <v>0</v>
      </c>
      <c r="M527" s="92">
        <v>0</v>
      </c>
      <c r="N527" s="92">
        <v>0</v>
      </c>
      <c r="O527" s="44">
        <f t="shared" si="262"/>
        <v>0</v>
      </c>
      <c r="P527" s="44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4" t="s">
        <v>12</v>
      </c>
      <c r="I528" s="43"/>
      <c r="J528" s="43"/>
      <c r="K528" s="44"/>
      <c r="L528" s="44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2">
        <f ca="1">N528</f>
        <v>1314680</v>
      </c>
      <c r="N528" s="44">
        <f ca="1">N529+N530+N531+N532</f>
        <v>1314680</v>
      </c>
      <c r="O528" s="44">
        <f t="shared" ca="1" si="262"/>
        <v>102.51875419142532</v>
      </c>
      <c r="P528" s="44">
        <f t="shared" ca="1" si="263"/>
        <v>100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8"/>
      <c r="H529" s="160" t="s">
        <v>12</v>
      </c>
      <c r="I529" s="36"/>
      <c r="J529" s="36"/>
      <c r="K529" s="37"/>
      <c r="L529" s="37"/>
      <c r="M529" s="37"/>
      <c r="N529" s="283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"),455565)</f>
        <v>455565</v>
      </c>
      <c r="O529" s="37"/>
      <c r="P529" s="3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8"/>
      <c r="H530" s="160" t="s">
        <v>12</v>
      </c>
      <c r="I530" s="36"/>
      <c r="J530" s="36"/>
      <c r="K530" s="37"/>
      <c r="L530" s="37"/>
      <c r="M530" s="37"/>
      <c r="N530" s="283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"),750000)</f>
        <v>750000</v>
      </c>
      <c r="O530" s="37"/>
      <c r="P530" s="3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8"/>
      <c r="H531" s="160" t="s">
        <v>12</v>
      </c>
      <c r="I531" s="36"/>
      <c r="J531" s="36"/>
      <c r="K531" s="37"/>
      <c r="L531" s="37"/>
      <c r="M531" s="37"/>
      <c r="N531" s="283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7"/>
      <c r="P531" s="3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8"/>
      <c r="H532" s="160" t="s">
        <v>12</v>
      </c>
      <c r="I532" s="36"/>
      <c r="J532" s="36"/>
      <c r="K532" s="37"/>
      <c r="L532" s="37"/>
      <c r="M532" s="37"/>
      <c r="N532" s="283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"),109115)</f>
        <v>109115</v>
      </c>
      <c r="O532" s="37"/>
      <c r="P532" s="3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8"/>
      <c r="H533" s="167" t="s">
        <v>12</v>
      </c>
      <c r="I533" s="161"/>
      <c r="J533" s="161"/>
      <c r="K533" s="162"/>
      <c r="L533" s="37">
        <f t="shared" ref="L533:N533" ca="1" si="267">L534+L535</f>
        <v>0</v>
      </c>
      <c r="M533" s="37">
        <f t="shared" si="267"/>
        <v>0</v>
      </c>
      <c r="N533" s="37">
        <f t="shared" si="267"/>
        <v>0</v>
      </c>
      <c r="O533" s="37">
        <f t="shared" ref="O533:O535" ca="1" si="268">IF(L533&gt;0,N533*100/L533,0)</f>
        <v>0</v>
      </c>
      <c r="P533" s="37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44">
        <f t="shared" si="268"/>
        <v>0</v>
      </c>
      <c r="P534" s="44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8" t="s">
        <v>12</v>
      </c>
      <c r="I535" s="165"/>
      <c r="J535" s="165"/>
      <c r="K535" s="166"/>
      <c r="L535" s="44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2">
        <v>0</v>
      </c>
      <c r="N535" s="92">
        <v>0</v>
      </c>
      <c r="O535" s="44">
        <f t="shared" ca="1" si="268"/>
        <v>0</v>
      </c>
      <c r="P535" s="44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4"/>
      <c r="I536" s="161"/>
      <c r="J536" s="161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227</v>
      </c>
      <c r="E537" s="571"/>
      <c r="F537" s="571"/>
      <c r="G537" s="188"/>
      <c r="H537" s="35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3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7">
        <f t="shared" ref="K537:K543" ca="1" si="270">IF(I537&gt;0,J537*100/I537,0)</f>
        <v>100</v>
      </c>
      <c r="L537" s="37"/>
      <c r="M537" s="37"/>
      <c r="N537" s="37"/>
      <c r="O537" s="37"/>
      <c r="P537" s="3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228</v>
      </c>
      <c r="F538" s="571"/>
      <c r="G538" s="188"/>
      <c r="H538" s="35" t="s">
        <v>35</v>
      </c>
      <c r="I538" s="269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2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7">
        <f t="shared" ca="1" si="270"/>
        <v>100</v>
      </c>
      <c r="L538" s="37"/>
      <c r="M538" s="37"/>
      <c r="N538" s="37"/>
      <c r="O538" s="37"/>
      <c r="P538" s="3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229</v>
      </c>
      <c r="F539" s="571"/>
      <c r="G539" s="188"/>
      <c r="H539" s="35" t="s">
        <v>35</v>
      </c>
      <c r="I539" s="269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2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7">
        <f t="shared" ca="1" si="270"/>
        <v>0</v>
      </c>
      <c r="L539" s="37"/>
      <c r="M539" s="37"/>
      <c r="N539" s="37"/>
      <c r="O539" s="37"/>
      <c r="P539" s="3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230</v>
      </c>
      <c r="F540" s="571"/>
      <c r="G540" s="188"/>
      <c r="H540" s="35" t="s">
        <v>35</v>
      </c>
      <c r="I540" s="269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2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7">
        <f t="shared" ca="1" si="270"/>
        <v>0</v>
      </c>
      <c r="L540" s="37"/>
      <c r="M540" s="37"/>
      <c r="N540" s="37"/>
      <c r="O540" s="37"/>
      <c r="P540" s="3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231</v>
      </c>
      <c r="F541" s="571"/>
      <c r="G541" s="188"/>
      <c r="H541" s="35" t="s">
        <v>35</v>
      </c>
      <c r="I541" s="269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2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7">
        <f t="shared" ca="1" si="270"/>
        <v>100</v>
      </c>
      <c r="L541" s="37"/>
      <c r="M541" s="37"/>
      <c r="N541" s="37"/>
      <c r="O541" s="37"/>
      <c r="P541" s="3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8"/>
      <c r="H542" s="35" t="s">
        <v>35</v>
      </c>
      <c r="I542" s="36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2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"),150)</f>
        <v>150</v>
      </c>
      <c r="K542" s="37">
        <f t="shared" ca="1" si="270"/>
        <v>100</v>
      </c>
      <c r="L542" s="37"/>
      <c r="M542" s="37"/>
      <c r="N542" s="37"/>
      <c r="O542" s="37"/>
      <c r="P542" s="3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264164.33529999998</v>
      </c>
      <c r="J543" s="682">
        <f t="shared" ca="1" si="271"/>
        <v>264169.38029999979</v>
      </c>
      <c r="K543" s="683">
        <f t="shared" ca="1" si="270"/>
        <v>100.00190979603438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88" t="s">
        <v>17</v>
      </c>
      <c r="E544" s="889"/>
      <c r="F544" s="889"/>
      <c r="G544" s="686"/>
      <c r="H544" s="274" t="s">
        <v>12</v>
      </c>
      <c r="I544" s="152"/>
      <c r="J544" s="152"/>
      <c r="K544" s="153"/>
      <c r="L544" s="154">
        <f t="shared" ref="L544:N544" ca="1" si="272">L545+L546</f>
        <v>6071241</v>
      </c>
      <c r="M544" s="154">
        <f t="shared" ca="1" si="272"/>
        <v>5641934.0099999998</v>
      </c>
      <c r="N544" s="154">
        <f t="shared" ca="1" si="272"/>
        <v>5641934.0130000003</v>
      </c>
      <c r="O544" s="154">
        <f t="shared" ref="O544:O549" ca="1" si="273">IF(L544&gt;0,N544*100/L544,0)</f>
        <v>92.928842933429934</v>
      </c>
      <c r="P544" s="154">
        <f t="shared" ref="P544:P549" ca="1" si="274">IF(M544&gt;0,N544*100/M544,0)</f>
        <v>100.00000005317327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4" t="s">
        <v>12</v>
      </c>
      <c r="I545" s="43"/>
      <c r="J545" s="43"/>
      <c r="K545" s="44"/>
      <c r="L545" s="44">
        <f t="shared" ref="L545:L546" si="275">L548+L556</f>
        <v>0</v>
      </c>
      <c r="M545" s="44">
        <f t="shared" ref="M545:N545" si="276">M548+M555</f>
        <v>0</v>
      </c>
      <c r="N545" s="44">
        <f t="shared" si="276"/>
        <v>0</v>
      </c>
      <c r="O545" s="44">
        <f t="shared" si="273"/>
        <v>0</v>
      </c>
      <c r="P545" s="44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4" t="s">
        <v>12</v>
      </c>
      <c r="I546" s="43"/>
      <c r="J546" s="43"/>
      <c r="K546" s="44"/>
      <c r="L546" s="44">
        <f t="shared" ca="1" si="275"/>
        <v>6071241</v>
      </c>
      <c r="M546" s="44">
        <f t="shared" ref="M546:N546" ca="1" si="277">M549+M556</f>
        <v>5641934.0099999998</v>
      </c>
      <c r="N546" s="44">
        <f t="shared" ca="1" si="277"/>
        <v>5641934.0130000003</v>
      </c>
      <c r="O546" s="44">
        <f t="shared" ca="1" si="273"/>
        <v>92.928842933429934</v>
      </c>
      <c r="P546" s="44">
        <f t="shared" ca="1" si="274"/>
        <v>100.00000005317327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8"/>
      <c r="H547" s="160" t="s">
        <v>12</v>
      </c>
      <c r="I547" s="161"/>
      <c r="J547" s="161"/>
      <c r="K547" s="162"/>
      <c r="L547" s="37">
        <f t="shared" ref="L547:N547" ca="1" si="278">L548+L549</f>
        <v>6071241</v>
      </c>
      <c r="M547" s="37">
        <f t="shared" ca="1" si="278"/>
        <v>5641934.0099999998</v>
      </c>
      <c r="N547" s="37">
        <f t="shared" ca="1" si="278"/>
        <v>5641934.0130000003</v>
      </c>
      <c r="O547" s="37">
        <f t="shared" ca="1" si="273"/>
        <v>92.928842933429934</v>
      </c>
      <c r="P547" s="37">
        <f t="shared" ca="1" si="274"/>
        <v>100.00000005317327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4" t="s">
        <v>12</v>
      </c>
      <c r="I548" s="43"/>
      <c r="J548" s="43"/>
      <c r="K548" s="44"/>
      <c r="L548" s="92">
        <v>0</v>
      </c>
      <c r="M548" s="92">
        <v>0</v>
      </c>
      <c r="N548" s="92">
        <v>0</v>
      </c>
      <c r="O548" s="44">
        <f t="shared" si="273"/>
        <v>0</v>
      </c>
      <c r="P548" s="44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4" t="s">
        <v>12</v>
      </c>
      <c r="I549" s="43"/>
      <c r="J549" s="43"/>
      <c r="K549" s="44"/>
      <c r="L549" s="44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"),6071241)</f>
        <v>6071241</v>
      </c>
      <c r="M549" s="92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"),5641934.01)</f>
        <v>5641934.0099999998</v>
      </c>
      <c r="N549" s="44">
        <f ca="1">N550+N551+N552+N553+N554</f>
        <v>5641934.0130000003</v>
      </c>
      <c r="O549" s="44">
        <f t="shared" ca="1" si="273"/>
        <v>92.928842933429934</v>
      </c>
      <c r="P549" s="44">
        <f t="shared" ca="1" si="274"/>
        <v>100.00000005317327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8"/>
      <c r="H550" s="160" t="s">
        <v>12</v>
      </c>
      <c r="I550" s="36"/>
      <c r="J550" s="36"/>
      <c r="K550" s="37"/>
      <c r="L550" s="37"/>
      <c r="M550" s="37"/>
      <c r="N550" s="283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7"/>
      <c r="P550" s="3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8"/>
      <c r="H551" s="160" t="s">
        <v>12</v>
      </c>
      <c r="I551" s="36"/>
      <c r="J551" s="36"/>
      <c r="K551" s="37"/>
      <c r="L551" s="37"/>
      <c r="M551" s="37"/>
      <c r="N551" s="283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"),248485)</f>
        <v>248485</v>
      </c>
      <c r="O551" s="37"/>
      <c r="P551" s="3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8"/>
      <c r="H552" s="160" t="s">
        <v>12</v>
      </c>
      <c r="I552" s="36"/>
      <c r="J552" s="36"/>
      <c r="K552" s="37"/>
      <c r="L552" s="37"/>
      <c r="M552" s="37"/>
      <c r="N552" s="283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"),2233300.563)</f>
        <v>2233300.5630000001</v>
      </c>
      <c r="O552" s="37"/>
      <c r="P552" s="3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8"/>
      <c r="H553" s="160" t="s">
        <v>12</v>
      </c>
      <c r="I553" s="36"/>
      <c r="J553" s="36"/>
      <c r="K553" s="37"/>
      <c r="L553" s="37"/>
      <c r="M553" s="37"/>
      <c r="N553" s="283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"),3160148.45)</f>
        <v>3160148.45</v>
      </c>
      <c r="O553" s="37"/>
      <c r="P553" s="3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8"/>
      <c r="H554" s="160" t="s">
        <v>12</v>
      </c>
      <c r="I554" s="36"/>
      <c r="J554" s="36"/>
      <c r="K554" s="37"/>
      <c r="L554" s="37"/>
      <c r="M554" s="37"/>
      <c r="N554" s="283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7"/>
      <c r="P554" s="3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8"/>
      <c r="H555" s="167" t="s">
        <v>12</v>
      </c>
      <c r="I555" s="161"/>
      <c r="J555" s="161"/>
      <c r="K555" s="162"/>
      <c r="L555" s="37">
        <f t="shared" ref="L555:N555" ca="1" si="279">L556+L557</f>
        <v>0</v>
      </c>
      <c r="M555" s="37">
        <f t="shared" si="279"/>
        <v>0</v>
      </c>
      <c r="N555" s="37">
        <f t="shared" si="279"/>
        <v>0</v>
      </c>
      <c r="O555" s="37">
        <f t="shared" ref="O555:O557" ca="1" si="280">IF(L555&gt;0,N555*100/L555,0)</f>
        <v>0</v>
      </c>
      <c r="P555" s="37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44">
        <f t="shared" si="280"/>
        <v>0</v>
      </c>
      <c r="P556" s="44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8" t="s">
        <v>12</v>
      </c>
      <c r="I557" s="165"/>
      <c r="J557" s="165"/>
      <c r="K557" s="166"/>
      <c r="L557" s="44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2">
        <v>0</v>
      </c>
      <c r="N557" s="92">
        <v>0</v>
      </c>
      <c r="O557" s="44">
        <f t="shared" ca="1" si="280"/>
        <v>0</v>
      </c>
      <c r="P557" s="44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4"/>
      <c r="I558" s="161"/>
      <c r="J558" s="161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264164.33529999998</v>
      </c>
      <c r="J559" s="671">
        <f t="shared" ca="1" si="282"/>
        <v>264169.38029999979</v>
      </c>
      <c r="K559" s="672">
        <f t="shared" ref="K559:K561" ca="1" si="283">IF(I559&gt;0,J559*100/I559,0)</f>
        <v>100.00190979603438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4"/>
      <c r="H560" s="191" t="s">
        <v>46</v>
      </c>
      <c r="I560" s="192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"),264164.3353)</f>
        <v>264164.33529999998</v>
      </c>
      <c r="J560" s="192">
        <f t="shared" ref="J560:J561" ca="1" si="284">J562+J564+J566</f>
        <v>264163.10249999998</v>
      </c>
      <c r="K560" s="410">
        <f t="shared" ca="1" si="283"/>
        <v>99.999533320802513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4"/>
      <c r="H561" s="191" t="s">
        <v>34</v>
      </c>
      <c r="I561" s="192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2">
        <f t="shared" ca="1" si="284"/>
        <v>21507</v>
      </c>
      <c r="K561" s="410">
        <f t="shared" ca="1" si="283"/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6" t="s">
        <v>236</v>
      </c>
      <c r="E562" s="614"/>
      <c r="F562" s="614"/>
      <c r="G562" s="174"/>
      <c r="H562" s="181" t="s">
        <v>46</v>
      </c>
      <c r="I562" s="161"/>
      <c r="J562" s="182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4"/>
      <c r="H563" s="181" t="s">
        <v>34</v>
      </c>
      <c r="I563" s="161"/>
      <c r="J563" s="182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6" t="s">
        <v>237</v>
      </c>
      <c r="E564" s="614"/>
      <c r="F564" s="614"/>
      <c r="G564" s="174"/>
      <c r="H564" s="181" t="s">
        <v>46</v>
      </c>
      <c r="I564" s="161"/>
      <c r="J564" s="182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4"/>
      <c r="H565" s="181" t="s">
        <v>34</v>
      </c>
      <c r="I565" s="161"/>
      <c r="J565" s="182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6" t="s">
        <v>238</v>
      </c>
      <c r="E566" s="614"/>
      <c r="F566" s="614"/>
      <c r="G566" s="174"/>
      <c r="H566" s="181" t="s">
        <v>46</v>
      </c>
      <c r="I566" s="161"/>
      <c r="J566" s="182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4"/>
      <c r="H567" s="181" t="s">
        <v>34</v>
      </c>
      <c r="I567" s="161"/>
      <c r="J567" s="182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4"/>
      <c r="H568" s="191" t="s">
        <v>46</v>
      </c>
      <c r="I568" s="192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"),264164.3353)</f>
        <v>264164.33529999998</v>
      </c>
      <c r="J568" s="193">
        <f t="shared" ref="J568:J569" ca="1" si="285">J570+J572+J574</f>
        <v>264165.43999999901</v>
      </c>
      <c r="K568" s="410">
        <f t="shared" ref="K568:K569" ca="1" si="286">IF(I568&gt;0,J568*100/I568,0)</f>
        <v>100.00041818665559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4"/>
      <c r="H569" s="191" t="s">
        <v>34</v>
      </c>
      <c r="I569" s="192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3">
        <f t="shared" ca="1" si="285"/>
        <v>21507</v>
      </c>
      <c r="K569" s="410">
        <f t="shared" ca="1" si="286"/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6" t="s">
        <v>240</v>
      </c>
      <c r="E570" s="604"/>
      <c r="F570" s="614"/>
      <c r="G570" s="174"/>
      <c r="H570" s="181" t="s">
        <v>46</v>
      </c>
      <c r="I570" s="161"/>
      <c r="J570" s="182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"),212841.479999999)</f>
        <v>212841.47999999899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4"/>
      <c r="H571" s="181" t="s">
        <v>34</v>
      </c>
      <c r="I571" s="161"/>
      <c r="J571" s="182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"),17840)</f>
        <v>17840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6" t="s">
        <v>241</v>
      </c>
      <c r="E572" s="614"/>
      <c r="F572" s="614"/>
      <c r="G572" s="174"/>
      <c r="H572" s="181" t="s">
        <v>46</v>
      </c>
      <c r="I572" s="161"/>
      <c r="J572" s="182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"),39935.31)</f>
        <v>39935.31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4"/>
      <c r="H573" s="181" t="s">
        <v>34</v>
      </c>
      <c r="I573" s="161"/>
      <c r="J573" s="182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"),2850)</f>
        <v>2850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6" t="s">
        <v>242</v>
      </c>
      <c r="E574" s="614"/>
      <c r="F574" s="614"/>
      <c r="G574" s="174"/>
      <c r="H574" s="181" t="s">
        <v>46</v>
      </c>
      <c r="I574" s="161"/>
      <c r="J574" s="182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"),11388.65)</f>
        <v>11388.65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4"/>
      <c r="H575" s="181" t="s">
        <v>34</v>
      </c>
      <c r="I575" s="161"/>
      <c r="J575" s="182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"),817)</f>
        <v>817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4"/>
      <c r="H576" s="191" t="s">
        <v>46</v>
      </c>
      <c r="I576" s="192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"),264164.3353)</f>
        <v>264164.33529999998</v>
      </c>
      <c r="J576" s="193">
        <f t="shared" ref="J576:J577" ca="1" si="287">J578+J580+J582+J588+J590</f>
        <v>264169.38029999979</v>
      </c>
      <c r="K576" s="410">
        <f t="shared" ref="K576:K577" ca="1" si="288">IF(I576&gt;0,J576*100/I576,0)</f>
        <v>100.00190979603438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4"/>
      <c r="H577" s="191" t="s">
        <v>34</v>
      </c>
      <c r="I577" s="192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3">
        <f t="shared" ca="1" si="287"/>
        <v>21507</v>
      </c>
      <c r="K577" s="410">
        <f t="shared" ca="1" si="288"/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6" t="s">
        <v>244</v>
      </c>
      <c r="E578" s="614"/>
      <c r="F578" s="614"/>
      <c r="G578" s="174"/>
      <c r="H578" s="181" t="s">
        <v>46</v>
      </c>
      <c r="I578" s="161"/>
      <c r="J578" s="182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"),236146.859)</f>
        <v>236146.859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4"/>
      <c r="H579" s="181" t="s">
        <v>34</v>
      </c>
      <c r="I579" s="161"/>
      <c r="J579" s="182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"),19382)</f>
        <v>19382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6" t="s">
        <v>245</v>
      </c>
      <c r="E580" s="614"/>
      <c r="F580" s="614"/>
      <c r="G580" s="174"/>
      <c r="H580" s="181" t="s">
        <v>46</v>
      </c>
      <c r="I580" s="161"/>
      <c r="J580" s="182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"),171.109999999999)</f>
        <v>171.10999999999899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4"/>
      <c r="H581" s="181" t="s">
        <v>34</v>
      </c>
      <c r="I581" s="161"/>
      <c r="J581" s="182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"),9)</f>
        <v>9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6" t="s">
        <v>246</v>
      </c>
      <c r="E582" s="614"/>
      <c r="F582" s="614"/>
      <c r="G582" s="174"/>
      <c r="H582" s="181" t="s">
        <v>46</v>
      </c>
      <c r="I582" s="161"/>
      <c r="J582" s="193">
        <f t="shared" ref="J582:J583" ca="1" si="289">J584+J586</f>
        <v>12654.623799999901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4"/>
      <c r="H583" s="181" t="s">
        <v>34</v>
      </c>
      <c r="I583" s="161"/>
      <c r="J583" s="193">
        <f t="shared" ca="1" si="289"/>
        <v>903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6" t="s">
        <v>247</v>
      </c>
      <c r="F584" s="614"/>
      <c r="G584" s="174"/>
      <c r="H584" s="181" t="s">
        <v>46</v>
      </c>
      <c r="I584" s="161"/>
      <c r="J584" s="182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"),12590.4337999999)</f>
        <v>12590.433799999901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4"/>
      <c r="H585" s="181" t="s">
        <v>34</v>
      </c>
      <c r="I585" s="161"/>
      <c r="J585" s="182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"),899)</f>
        <v>899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6" t="s">
        <v>248</v>
      </c>
      <c r="F586" s="614"/>
      <c r="G586" s="174"/>
      <c r="H586" s="181" t="s">
        <v>46</v>
      </c>
      <c r="I586" s="161"/>
      <c r="J586" s="182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"),64.19)</f>
        <v>64.19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4"/>
      <c r="H587" s="181" t="s">
        <v>34</v>
      </c>
      <c r="I587" s="161"/>
      <c r="J587" s="182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"),4)</f>
        <v>4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6" t="s">
        <v>249</v>
      </c>
      <c r="E588" s="614"/>
      <c r="F588" s="614"/>
      <c r="G588" s="174"/>
      <c r="H588" s="181" t="s">
        <v>46</v>
      </c>
      <c r="I588" s="161"/>
      <c r="J588" s="182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"),15196.7874999999)</f>
        <v>15196.7874999999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4"/>
      <c r="H589" s="181" t="s">
        <v>34</v>
      </c>
      <c r="I589" s="161"/>
      <c r="J589" s="182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"),1213)</f>
        <v>1213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6" t="s">
        <v>250</v>
      </c>
      <c r="E590" s="614"/>
      <c r="F590" s="614"/>
      <c r="G590" s="174"/>
      <c r="H590" s="181" t="s">
        <v>46</v>
      </c>
      <c r="I590" s="161"/>
      <c r="J590" s="182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81060.994999999995</v>
      </c>
      <c r="J592" s="671">
        <f t="shared" ca="1" si="290"/>
        <v>80466.553449999978</v>
      </c>
      <c r="K592" s="672">
        <f t="shared" ref="K592:K594" ca="1" si="291">IF(I592&gt;0,J592*100/I592,0)</f>
        <v>99.266673755978431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4"/>
      <c r="H593" s="191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"),81060.995)</f>
        <v>81060.994999999995</v>
      </c>
      <c r="J593" s="192">
        <f t="shared" ref="J593:J594" ca="1" si="292">J595+J603+J609</f>
        <v>80466.553449999978</v>
      </c>
      <c r="K593" s="410">
        <f t="shared" ca="1" si="291"/>
        <v>99.266673755978431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4"/>
      <c r="H594" s="191" t="s">
        <v>34</v>
      </c>
      <c r="I594" s="192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2">
        <f t="shared" ca="1" si="292"/>
        <v>5301</v>
      </c>
      <c r="K594" s="410">
        <f t="shared" ca="1" si="291"/>
        <v>98.954638790367738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4"/>
      <c r="H595" s="181" t="s">
        <v>46</v>
      </c>
      <c r="I595" s="161"/>
      <c r="J595" s="161">
        <f t="shared" ref="J595:J596" ca="1" si="293">J597+J599</f>
        <v>71409.974999999991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4"/>
      <c r="H596" s="181" t="s">
        <v>34</v>
      </c>
      <c r="I596" s="161"/>
      <c r="J596" s="161">
        <f t="shared" ca="1" si="293"/>
        <v>4643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2" t="s">
        <v>254</v>
      </c>
      <c r="E597" s="614"/>
      <c r="F597" s="614"/>
      <c r="G597" s="174"/>
      <c r="H597" s="181" t="s">
        <v>46</v>
      </c>
      <c r="I597" s="161"/>
      <c r="J597" s="182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"),41709.215)</f>
        <v>41709.214999999997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4"/>
      <c r="H598" s="181" t="s">
        <v>34</v>
      </c>
      <c r="I598" s="36"/>
      <c r="J598" s="182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"),2910)</f>
        <v>2910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2" t="s">
        <v>255</v>
      </c>
      <c r="E599" s="614"/>
      <c r="F599" s="614"/>
      <c r="G599" s="174"/>
      <c r="H599" s="181" t="s">
        <v>46</v>
      </c>
      <c r="I599" s="36"/>
      <c r="J599" s="182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"),29700.76)</f>
        <v>29700.76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4"/>
      <c r="H600" s="181" t="s">
        <v>34</v>
      </c>
      <c r="I600" s="36"/>
      <c r="J600" s="182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"),1733)</f>
        <v>1733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2" t="s">
        <v>256</v>
      </c>
      <c r="E601" s="614"/>
      <c r="F601" s="614"/>
      <c r="G601" s="174"/>
      <c r="H601" s="181" t="s">
        <v>46</v>
      </c>
      <c r="I601" s="36"/>
      <c r="J601" s="182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"),187)</f>
        <v>187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4"/>
      <c r="H602" s="181" t="s">
        <v>34</v>
      </c>
      <c r="I602" s="36"/>
      <c r="J602" s="182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"),7)</f>
        <v>7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257</v>
      </c>
      <c r="D603" s="604"/>
      <c r="E603" s="604"/>
      <c r="F603" s="614"/>
      <c r="G603" s="174"/>
      <c r="H603" s="181" t="s">
        <v>46</v>
      </c>
      <c r="I603" s="36"/>
      <c r="J603" s="36">
        <f t="shared" ref="J603:J604" ca="1" si="294">J605+J607</f>
        <v>8734.3984499999897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4"/>
      <c r="H604" s="181" t="s">
        <v>34</v>
      </c>
      <c r="I604" s="36"/>
      <c r="J604" s="36">
        <f t="shared" ca="1" si="294"/>
        <v>625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258</v>
      </c>
      <c r="E605" s="614"/>
      <c r="F605" s="614"/>
      <c r="G605" s="174"/>
      <c r="H605" s="181" t="s">
        <v>46</v>
      </c>
      <c r="I605" s="36"/>
      <c r="J605" s="182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"),8172.39844999999)</f>
        <v>8172.3984499999897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4"/>
      <c r="H606" s="181" t="s">
        <v>34</v>
      </c>
      <c r="I606" s="36"/>
      <c r="J606" s="182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"),592)</f>
        <v>592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259</v>
      </c>
      <c r="E607" s="604"/>
      <c r="F607" s="614"/>
      <c r="G607" s="174"/>
      <c r="H607" s="181" t="s">
        <v>46</v>
      </c>
      <c r="I607" s="36"/>
      <c r="J607" s="182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"),562)</f>
        <v>562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4"/>
      <c r="H608" s="181" t="s">
        <v>34</v>
      </c>
      <c r="I608" s="36"/>
      <c r="J608" s="182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"),33)</f>
        <v>33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4"/>
      <c r="H609" s="181" t="s">
        <v>46</v>
      </c>
      <c r="I609" s="36"/>
      <c r="J609" s="182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"),322.18)</f>
        <v>322.18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4"/>
      <c r="H610" s="181" t="s">
        <v>34</v>
      </c>
      <c r="I610" s="36"/>
      <c r="J610" s="182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"),33)</f>
        <v>33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262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263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264</v>
      </c>
      <c r="E614" s="610"/>
      <c r="F614" s="596"/>
      <c r="G614" s="365"/>
      <c r="H614" s="369" t="s">
        <v>46</v>
      </c>
      <c r="I614" s="43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5"/>
      <c r="H615" s="369" t="s">
        <v>34</v>
      </c>
      <c r="I615" s="43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264</v>
      </c>
      <c r="E616" s="596"/>
      <c r="F616" s="596"/>
      <c r="G616" s="365"/>
      <c r="H616" s="369" t="s">
        <v>46</v>
      </c>
      <c r="I616" s="43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5"/>
      <c r="H617" s="369" t="s">
        <v>34</v>
      </c>
      <c r="I617" s="43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265</v>
      </c>
      <c r="E618" s="596"/>
      <c r="F618" s="596"/>
      <c r="G618" s="365"/>
      <c r="H618" s="369" t="s">
        <v>46</v>
      </c>
      <c r="I618" s="43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5"/>
      <c r="H619" s="369" t="s">
        <v>34</v>
      </c>
      <c r="I619" s="43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266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946</v>
      </c>
      <c r="K620" s="724">
        <f t="shared" ref="K620:K621" ca="1" si="298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267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59</v>
      </c>
      <c r="K621" s="724">
        <f t="shared" ca="1" si="298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2" t="s">
        <v>268</v>
      </c>
      <c r="E622" s="614"/>
      <c r="F622" s="614"/>
      <c r="G622" s="174"/>
      <c r="H622" s="181" t="s">
        <v>46</v>
      </c>
      <c r="I622" s="36"/>
      <c r="J622" s="182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"),371)</f>
        <v>371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4"/>
      <c r="H623" s="181" t="s">
        <v>34</v>
      </c>
      <c r="I623" s="36"/>
      <c r="J623" s="182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"),13)</f>
        <v>13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2" t="s">
        <v>264</v>
      </c>
      <c r="E624" s="614"/>
      <c r="F624" s="614"/>
      <c r="G624" s="174"/>
      <c r="H624" s="181" t="s">
        <v>46</v>
      </c>
      <c r="I624" s="36"/>
      <c r="J624" s="182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"),571)</f>
        <v>571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4"/>
      <c r="H625" s="181" t="s">
        <v>34</v>
      </c>
      <c r="I625" s="36"/>
      <c r="J625" s="182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"),39)</f>
        <v>39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2" t="s">
        <v>269</v>
      </c>
      <c r="E626" s="614"/>
      <c r="F626" s="614"/>
      <c r="G626" s="174"/>
      <c r="H626" s="181" t="s">
        <v>46</v>
      </c>
      <c r="I626" s="36"/>
      <c r="J626" s="182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1185</v>
      </c>
      <c r="J628" s="736">
        <f t="shared" ca="1" si="299"/>
        <v>635</v>
      </c>
      <c r="K628" s="737">
        <f ca="1">IF(I628&gt;0,J628*100/I628,0)</f>
        <v>53.586497890295355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86" t="s">
        <v>17</v>
      </c>
      <c r="E629" s="887"/>
      <c r="F629" s="887"/>
      <c r="G629" s="188"/>
      <c r="H629" s="593" t="s">
        <v>12</v>
      </c>
      <c r="I629" s="36"/>
      <c r="J629" s="36"/>
      <c r="K629" s="37"/>
      <c r="L629" s="194">
        <f t="shared" ref="L629:N629" ca="1" si="300">L630+L631</f>
        <v>3807230</v>
      </c>
      <c r="M629" s="194">
        <f t="shared" ca="1" si="300"/>
        <v>2756910.66</v>
      </c>
      <c r="N629" s="194">
        <f t="shared" ca="1" si="300"/>
        <v>2756910.66</v>
      </c>
      <c r="O629" s="194">
        <f t="shared" ref="O629:O634" ca="1" si="301">IF(L629&gt;0,N629*100/L629,0)</f>
        <v>72.412506205298868</v>
      </c>
      <c r="P629" s="194">
        <f t="shared" ref="P629:P634" ca="1" si="302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4" t="s">
        <v>12</v>
      </c>
      <c r="I630" s="43"/>
      <c r="J630" s="43"/>
      <c r="K630" s="44"/>
      <c r="L630" s="44">
        <f t="shared" ref="L630:N630" si="303">L633+L640</f>
        <v>0</v>
      </c>
      <c r="M630" s="44">
        <f t="shared" si="303"/>
        <v>0</v>
      </c>
      <c r="N630" s="44">
        <f t="shared" si="303"/>
        <v>0</v>
      </c>
      <c r="O630" s="44">
        <f t="shared" si="301"/>
        <v>0</v>
      </c>
      <c r="P630" s="44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4" t="s">
        <v>12</v>
      </c>
      <c r="I631" s="43"/>
      <c r="J631" s="43"/>
      <c r="K631" s="44"/>
      <c r="L631" s="44">
        <f t="shared" ref="L631:N631" ca="1" si="304">L634+L641</f>
        <v>3807230</v>
      </c>
      <c r="M631" s="44">
        <f t="shared" ca="1" si="304"/>
        <v>2756910.66</v>
      </c>
      <c r="N631" s="44">
        <f t="shared" ca="1" si="304"/>
        <v>2756910.66</v>
      </c>
      <c r="O631" s="44">
        <f t="shared" ca="1" si="301"/>
        <v>72.412506205298868</v>
      </c>
      <c r="P631" s="44">
        <f t="shared" ca="1" si="302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8"/>
      <c r="H632" s="160" t="s">
        <v>12</v>
      </c>
      <c r="I632" s="161"/>
      <c r="J632" s="161"/>
      <c r="K632" s="162"/>
      <c r="L632" s="37">
        <f t="shared" ref="L632:N632" ca="1" si="305">L633+L634</f>
        <v>3807230</v>
      </c>
      <c r="M632" s="37">
        <f t="shared" ca="1" si="305"/>
        <v>2756910.66</v>
      </c>
      <c r="N632" s="37">
        <f t="shared" ca="1" si="305"/>
        <v>2756910.66</v>
      </c>
      <c r="O632" s="37">
        <f t="shared" ca="1" si="301"/>
        <v>72.412506205298868</v>
      </c>
      <c r="P632" s="37">
        <f t="shared" ca="1" si="302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4" t="s">
        <v>12</v>
      </c>
      <c r="I633" s="43"/>
      <c r="J633" s="43"/>
      <c r="K633" s="44"/>
      <c r="L633" s="92">
        <v>0</v>
      </c>
      <c r="M633" s="92">
        <v>0</v>
      </c>
      <c r="N633" s="92">
        <v>0</v>
      </c>
      <c r="O633" s="44">
        <f t="shared" si="301"/>
        <v>0</v>
      </c>
      <c r="P633" s="44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4" t="s">
        <v>12</v>
      </c>
      <c r="I634" s="43"/>
      <c r="J634" s="43"/>
      <c r="K634" s="44"/>
      <c r="L634" s="44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2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"),2756910.66)</f>
        <v>2756910.66</v>
      </c>
      <c r="N634" s="44">
        <f ca="1">N635+N636+N637+N638</f>
        <v>2756910.66</v>
      </c>
      <c r="O634" s="44">
        <f t="shared" ca="1" si="301"/>
        <v>72.412506205298868</v>
      </c>
      <c r="P634" s="44">
        <f t="shared" ca="1" si="302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8"/>
      <c r="H635" s="160" t="s">
        <v>12</v>
      </c>
      <c r="I635" s="36"/>
      <c r="J635" s="36"/>
      <c r="K635" s="37"/>
      <c r="L635" s="37"/>
      <c r="M635" s="37"/>
      <c r="N635" s="283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7"/>
      <c r="P635" s="3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8"/>
      <c r="H636" s="160" t="s">
        <v>12</v>
      </c>
      <c r="I636" s="36"/>
      <c r="J636" s="36"/>
      <c r="K636" s="37"/>
      <c r="L636" s="37"/>
      <c r="M636" s="37"/>
      <c r="N636" s="283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"),90000)</f>
        <v>90000</v>
      </c>
      <c r="O636" s="37"/>
      <c r="P636" s="3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8"/>
      <c r="H637" s="160" t="s">
        <v>12</v>
      </c>
      <c r="I637" s="36"/>
      <c r="J637" s="36"/>
      <c r="K637" s="37"/>
      <c r="L637" s="37"/>
      <c r="M637" s="37"/>
      <c r="N637" s="283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"),1065057.3)</f>
        <v>1065057.3</v>
      </c>
      <c r="O637" s="37"/>
      <c r="P637" s="3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8"/>
      <c r="H638" s="160" t="s">
        <v>12</v>
      </c>
      <c r="I638" s="36"/>
      <c r="J638" s="36"/>
      <c r="K638" s="37"/>
      <c r="L638" s="37"/>
      <c r="M638" s="37"/>
      <c r="N638" s="283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"),1601853.36)</f>
        <v>1601853.36</v>
      </c>
      <c r="O638" s="37"/>
      <c r="P638" s="3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8"/>
      <c r="H639" s="167" t="s">
        <v>12</v>
      </c>
      <c r="I639" s="161"/>
      <c r="J639" s="161"/>
      <c r="K639" s="162"/>
      <c r="L639" s="37">
        <f t="shared" ref="L639:N639" ca="1" si="306">L640+L641</f>
        <v>0</v>
      </c>
      <c r="M639" s="37">
        <f t="shared" si="306"/>
        <v>0</v>
      </c>
      <c r="N639" s="37">
        <f t="shared" si="306"/>
        <v>0</v>
      </c>
      <c r="O639" s="37">
        <f t="shared" ref="O639:O641" ca="1" si="307">IF(L639&gt;0,N639*100/L639,0)</f>
        <v>0</v>
      </c>
      <c r="P639" s="37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44">
        <f t="shared" si="307"/>
        <v>0</v>
      </c>
      <c r="P640" s="44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8" t="s">
        <v>12</v>
      </c>
      <c r="I641" s="165"/>
      <c r="J641" s="165"/>
      <c r="K641" s="166"/>
      <c r="L641" s="44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2">
        <v>0</v>
      </c>
      <c r="N641" s="92">
        <v>0</v>
      </c>
      <c r="O641" s="44">
        <f t="shared" ca="1" si="307"/>
        <v>0</v>
      </c>
      <c r="P641" s="44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4"/>
      <c r="I642" s="161"/>
      <c r="J642" s="161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271</v>
      </c>
      <c r="F643" s="614"/>
      <c r="G643" s="174"/>
      <c r="H643" s="447" t="s">
        <v>272</v>
      </c>
      <c r="I643" s="269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"),9)</f>
        <v>9</v>
      </c>
      <c r="J643" s="182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2">
        <f t="shared" ref="K643:K652" ca="1" si="309">IF(I643&gt;0,J643*100/I643,0)</f>
        <v>100</v>
      </c>
      <c r="L643" s="162"/>
      <c r="M643" s="162"/>
      <c r="N643" s="3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273</v>
      </c>
      <c r="F644" s="614"/>
      <c r="G644" s="174"/>
      <c r="H644" s="447" t="s">
        <v>274</v>
      </c>
      <c r="I644" s="269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"),9)</f>
        <v>9</v>
      </c>
      <c r="J644" s="182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"),9)</f>
        <v>9</v>
      </c>
      <c r="K644" s="162">
        <f t="shared" ca="1" si="309"/>
        <v>100</v>
      </c>
      <c r="L644" s="162"/>
      <c r="M644" s="162"/>
      <c r="N644" s="3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275</v>
      </c>
      <c r="F645" s="614"/>
      <c r="G645" s="174"/>
      <c r="H645" s="181" t="s">
        <v>34</v>
      </c>
      <c r="I645" s="269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6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"),936)</f>
        <v>936</v>
      </c>
      <c r="K645" s="162">
        <f t="shared" ca="1" si="309"/>
        <v>0</v>
      </c>
      <c r="L645" s="162"/>
      <c r="M645" s="162"/>
      <c r="N645" s="3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4"/>
      <c r="H646" s="181" t="s">
        <v>46</v>
      </c>
      <c r="I646" s="269">
        <v>0</v>
      </c>
      <c r="J646" s="36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"),719.119999999999)</f>
        <v>719.11999999999898</v>
      </c>
      <c r="K646" s="37">
        <f t="shared" si="309"/>
        <v>0</v>
      </c>
      <c r="L646" s="162"/>
      <c r="M646" s="162"/>
      <c r="N646" s="3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2" t="s">
        <v>162</v>
      </c>
      <c r="F647" s="614"/>
      <c r="G647" s="174"/>
      <c r="H647" s="181" t="s">
        <v>35</v>
      </c>
      <c r="I647" s="36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"),1185)</f>
        <v>1185</v>
      </c>
      <c r="J647" s="36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"),821)</f>
        <v>821</v>
      </c>
      <c r="K647" s="162">
        <f t="shared" ca="1" si="309"/>
        <v>69.28270042194093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4"/>
      <c r="H648" s="181" t="s">
        <v>46</v>
      </c>
      <c r="I648" s="269">
        <v>0</v>
      </c>
      <c r="J648" s="36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"),571.89)</f>
        <v>571.89</v>
      </c>
      <c r="K648" s="37">
        <f t="shared" si="309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2" t="s">
        <v>276</v>
      </c>
      <c r="F649" s="614"/>
      <c r="G649" s="174"/>
      <c r="H649" s="181" t="s">
        <v>35</v>
      </c>
      <c r="I649" s="36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"),1185)</f>
        <v>1185</v>
      </c>
      <c r="J649" s="36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"),679)</f>
        <v>679</v>
      </c>
      <c r="K649" s="162">
        <f t="shared" ca="1" si="309"/>
        <v>57.299578059071727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4"/>
      <c r="H650" s="181" t="s">
        <v>46</v>
      </c>
      <c r="I650" s="269">
        <v>0</v>
      </c>
      <c r="J650" s="36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"),464.71)</f>
        <v>464.71</v>
      </c>
      <c r="K650" s="37">
        <f t="shared" si="309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2" t="s">
        <v>277</v>
      </c>
      <c r="F651" s="614"/>
      <c r="G651" s="174"/>
      <c r="H651" s="181" t="s">
        <v>35</v>
      </c>
      <c r="I651" s="36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"),1185)</f>
        <v>1185</v>
      </c>
      <c r="J651" s="36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"),635)</f>
        <v>635</v>
      </c>
      <c r="K651" s="162">
        <f t="shared" ca="1" si="309"/>
        <v>53.586497890295355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382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"),424.3675)</f>
        <v>424.36750000000001</v>
      </c>
      <c r="K652" s="502">
        <f t="shared" si="309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338</v>
      </c>
      <c r="K654" s="672">
        <f ca="1">IF(I654&gt;0,J654*100/I654,0)</f>
        <v>27.368421052631579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86" t="s">
        <v>17</v>
      </c>
      <c r="E655" s="887"/>
      <c r="F655" s="887"/>
      <c r="G655" s="188"/>
      <c r="H655" s="593" t="s">
        <v>12</v>
      </c>
      <c r="I655" s="36"/>
      <c r="J655" s="36"/>
      <c r="K655" s="37"/>
      <c r="L655" s="194">
        <f t="shared" ref="L655:N655" ca="1" si="311">L656+L657</f>
        <v>171700</v>
      </c>
      <c r="M655" s="194">
        <f t="shared" ca="1" si="311"/>
        <v>112144.2</v>
      </c>
      <c r="N655" s="194">
        <f t="shared" ca="1" si="311"/>
        <v>112144.2</v>
      </c>
      <c r="O655" s="194">
        <f t="shared" ref="O655:O660" ca="1" si="312">IF(L655&gt;0,N655*100/L655,0)</f>
        <v>65.314036109493301</v>
      </c>
      <c r="P655" s="194">
        <f t="shared" ref="P655:P660" ca="1" si="313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4" t="s">
        <v>12</v>
      </c>
      <c r="I656" s="43"/>
      <c r="J656" s="43"/>
      <c r="K656" s="44"/>
      <c r="L656" s="44">
        <f t="shared" ref="L656:N656" si="314">L659+L666</f>
        <v>0</v>
      </c>
      <c r="M656" s="44">
        <f t="shared" si="314"/>
        <v>0</v>
      </c>
      <c r="N656" s="44">
        <f t="shared" si="314"/>
        <v>0</v>
      </c>
      <c r="O656" s="44">
        <f t="shared" si="312"/>
        <v>0</v>
      </c>
      <c r="P656" s="44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4" t="s">
        <v>12</v>
      </c>
      <c r="I657" s="43"/>
      <c r="J657" s="43"/>
      <c r="K657" s="44"/>
      <c r="L657" s="44">
        <f t="shared" ref="L657:N657" ca="1" si="315">L660+L667</f>
        <v>171700</v>
      </c>
      <c r="M657" s="44">
        <f t="shared" ca="1" si="315"/>
        <v>112144.2</v>
      </c>
      <c r="N657" s="44">
        <f t="shared" ca="1" si="315"/>
        <v>112144.2</v>
      </c>
      <c r="O657" s="44">
        <f t="shared" ca="1" si="312"/>
        <v>65.314036109493301</v>
      </c>
      <c r="P657" s="44">
        <f t="shared" ca="1" si="313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8"/>
      <c r="H658" s="160" t="s">
        <v>12</v>
      </c>
      <c r="I658" s="161"/>
      <c r="J658" s="161"/>
      <c r="K658" s="162"/>
      <c r="L658" s="37">
        <f t="shared" ref="L658:N658" ca="1" si="316">L659+L660</f>
        <v>171700</v>
      </c>
      <c r="M658" s="37">
        <f t="shared" ca="1" si="316"/>
        <v>112144.2</v>
      </c>
      <c r="N658" s="37">
        <f t="shared" ca="1" si="316"/>
        <v>112144.2</v>
      </c>
      <c r="O658" s="37">
        <f t="shared" ca="1" si="312"/>
        <v>65.314036109493301</v>
      </c>
      <c r="P658" s="37">
        <f t="shared" ca="1" si="313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4" t="s">
        <v>12</v>
      </c>
      <c r="I659" s="43"/>
      <c r="J659" s="43"/>
      <c r="K659" s="44"/>
      <c r="L659" s="92">
        <v>0</v>
      </c>
      <c r="M659" s="92">
        <v>0</v>
      </c>
      <c r="N659" s="92">
        <v>0</v>
      </c>
      <c r="O659" s="44">
        <f t="shared" si="312"/>
        <v>0</v>
      </c>
      <c r="P659" s="44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4" t="s">
        <v>12</v>
      </c>
      <c r="I660" s="43"/>
      <c r="J660" s="43"/>
      <c r="K660" s="44"/>
      <c r="L660" s="44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2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"),112144.2)</f>
        <v>112144.2</v>
      </c>
      <c r="N660" s="44">
        <f ca="1">N661+N662+N663+N664</f>
        <v>112144.2</v>
      </c>
      <c r="O660" s="44">
        <f t="shared" ca="1" si="312"/>
        <v>65.314036109493301</v>
      </c>
      <c r="P660" s="44">
        <f t="shared" ca="1" si="313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8"/>
      <c r="H661" s="160" t="s">
        <v>12</v>
      </c>
      <c r="I661" s="36"/>
      <c r="J661" s="36"/>
      <c r="K661" s="37"/>
      <c r="L661" s="37"/>
      <c r="M661" s="37"/>
      <c r="N661" s="283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7"/>
      <c r="P661" s="3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8"/>
      <c r="H662" s="160" t="s">
        <v>12</v>
      </c>
      <c r="I662" s="36"/>
      <c r="J662" s="36"/>
      <c r="K662" s="37"/>
      <c r="L662" s="37"/>
      <c r="M662" s="37"/>
      <c r="N662" s="283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"),1560)</f>
        <v>1560</v>
      </c>
      <c r="O662" s="37"/>
      <c r="P662" s="3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8"/>
      <c r="H663" s="160" t="s">
        <v>12</v>
      </c>
      <c r="I663" s="36"/>
      <c r="J663" s="36"/>
      <c r="K663" s="37"/>
      <c r="L663" s="37"/>
      <c r="M663" s="37"/>
      <c r="N663" s="283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"),1500)</f>
        <v>1500</v>
      </c>
      <c r="O663" s="37"/>
      <c r="P663" s="3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8"/>
      <c r="H664" s="160" t="s">
        <v>12</v>
      </c>
      <c r="I664" s="36"/>
      <c r="J664" s="36"/>
      <c r="K664" s="37"/>
      <c r="L664" s="37"/>
      <c r="M664" s="37"/>
      <c r="N664" s="283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"),109084.2)</f>
        <v>109084.2</v>
      </c>
      <c r="O664" s="37"/>
      <c r="P664" s="3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8"/>
      <c r="H665" s="167" t="s">
        <v>12</v>
      </c>
      <c r="I665" s="161"/>
      <c r="J665" s="161"/>
      <c r="K665" s="162"/>
      <c r="L665" s="37">
        <f t="shared" ref="L665:N665" si="317">L666+L667</f>
        <v>0</v>
      </c>
      <c r="M665" s="37">
        <f t="shared" si="317"/>
        <v>0</v>
      </c>
      <c r="N665" s="37">
        <f t="shared" si="317"/>
        <v>0</v>
      </c>
      <c r="O665" s="37">
        <f t="shared" ref="O665:O667" si="318">IF(L665&gt;0,N665*100/L665,0)</f>
        <v>0</v>
      </c>
      <c r="P665" s="37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44">
        <f t="shared" si="318"/>
        <v>0</v>
      </c>
      <c r="P666" s="44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44">
        <f t="shared" si="318"/>
        <v>0</v>
      </c>
      <c r="P667" s="44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4"/>
      <c r="I668" s="161"/>
      <c r="J668" s="161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4"/>
      <c r="H669" s="747" t="s">
        <v>46</v>
      </c>
      <c r="I669" s="193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3">
        <f ca="1">J675</f>
        <v>338</v>
      </c>
      <c r="K669" s="194">
        <f ca="1">IF(I669&gt;0,J669*100/I669,0)</f>
        <v>27.368421052631579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6" t="s">
        <v>281</v>
      </c>
      <c r="F670" s="614"/>
      <c r="G670" s="174"/>
      <c r="H670" s="447" t="s">
        <v>66</v>
      </c>
      <c r="I670" s="36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2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"),65)</f>
        <v>65</v>
      </c>
      <c r="K670" s="37">
        <f ca="1">IF(I670&gt;0,(J670*100)/I670,0)</f>
        <v>106.55737704918033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6" t="s">
        <v>282</v>
      </c>
      <c r="F671" s="614"/>
      <c r="G671" s="174"/>
      <c r="H671" s="447" t="s">
        <v>66</v>
      </c>
      <c r="I671" s="36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2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"),65)</f>
        <v>65</v>
      </c>
      <c r="K671" s="37">
        <f ca="1">IF(I$671&gt;0,J671*100/I$671,0)</f>
        <v>106.55737704918033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6" t="s">
        <v>283</v>
      </c>
      <c r="F672" s="614"/>
      <c r="G672" s="174"/>
      <c r="H672" s="181" t="s">
        <v>46</v>
      </c>
      <c r="I672" s="36"/>
      <c r="J672" s="182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"),1202.4375)</f>
        <v>1202.4375</v>
      </c>
      <c r="K672" s="37">
        <f t="shared" ref="K672:K675" ca="1" si="320">IF(I$669&gt;0,J672*100/I$669,0)</f>
        <v>97.363360323886639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6" t="s">
        <v>284</v>
      </c>
      <c r="F673" s="614"/>
      <c r="G673" s="174"/>
      <c r="H673" s="181" t="s">
        <v>46</v>
      </c>
      <c r="I673" s="36"/>
      <c r="J673" s="182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"),1021.4375)</f>
        <v>1021.4375</v>
      </c>
      <c r="K673" s="37">
        <f t="shared" ca="1" si="320"/>
        <v>82.707489878542503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6" t="s">
        <v>285</v>
      </c>
      <c r="F674" s="614"/>
      <c r="G674" s="174"/>
      <c r="H674" s="181" t="s">
        <v>46</v>
      </c>
      <c r="I674" s="36"/>
      <c r="J674" s="182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"),365)</f>
        <v>365</v>
      </c>
      <c r="K674" s="37">
        <f t="shared" ca="1" si="320"/>
        <v>29.554655870445345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6" t="s">
        <v>286</v>
      </c>
      <c r="F675" s="614"/>
      <c r="G675" s="174"/>
      <c r="H675" s="181" t="s">
        <v>46</v>
      </c>
      <c r="I675" s="36"/>
      <c r="J675" s="193">
        <f ca="1">J676+J677</f>
        <v>338</v>
      </c>
      <c r="K675" s="194">
        <f t="shared" ca="1" si="320"/>
        <v>27.368421052631579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6" t="s">
        <v>287</v>
      </c>
      <c r="G676" s="174"/>
      <c r="H676" s="181" t="s">
        <v>46</v>
      </c>
      <c r="I676" s="36"/>
      <c r="J676" s="182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"),154)</f>
        <v>154</v>
      </c>
      <c r="K676" s="3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6" t="s">
        <v>288</v>
      </c>
      <c r="G677" s="174"/>
      <c r="H677" s="181" t="s">
        <v>46</v>
      </c>
      <c r="I677" s="36"/>
      <c r="J677" s="182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"),184)</f>
        <v>184</v>
      </c>
      <c r="K677" s="3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4"/>
      <c r="H678" s="181" t="s">
        <v>46</v>
      </c>
      <c r="I678" s="193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3">
        <f ca="1">J679</f>
        <v>206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6" t="s">
        <v>290</v>
      </c>
      <c r="F679" s="614"/>
      <c r="G679" s="174"/>
      <c r="H679" s="181" t="s">
        <v>46</v>
      </c>
      <c r="I679" s="36"/>
      <c r="J679" s="36">
        <f ca="1">J680+J681</f>
        <v>206</v>
      </c>
      <c r="K679" s="3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6" t="s">
        <v>287</v>
      </c>
      <c r="G680" s="174"/>
      <c r="H680" s="181" t="s">
        <v>46</v>
      </c>
      <c r="I680" s="36"/>
      <c r="J680" s="182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6" t="s">
        <v>288</v>
      </c>
      <c r="G681" s="174"/>
      <c r="H681" s="181" t="s">
        <v>46</v>
      </c>
      <c r="I681" s="36"/>
      <c r="J681" s="182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"),70)</f>
        <v>70</v>
      </c>
      <c r="K681" s="3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6" t="s">
        <v>291</v>
      </c>
      <c r="F682" s="614"/>
      <c r="G682" s="174"/>
      <c r="H682" s="181" t="s">
        <v>46</v>
      </c>
      <c r="I682" s="36"/>
      <c r="J682" s="182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"),136)</f>
        <v>136</v>
      </c>
      <c r="K682" s="3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6" t="s">
        <v>292</v>
      </c>
      <c r="G683" s="174"/>
      <c r="H683" s="181" t="s">
        <v>46</v>
      </c>
      <c r="I683" s="36"/>
      <c r="J683" s="182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86" t="s">
        <v>17</v>
      </c>
      <c r="E685" s="887"/>
      <c r="F685" s="887"/>
      <c r="G685" s="188"/>
      <c r="H685" s="593" t="s">
        <v>12</v>
      </c>
      <c r="I685" s="36"/>
      <c r="J685" s="36"/>
      <c r="K685" s="37"/>
      <c r="L685" s="194">
        <f t="shared" ref="L685:N685" ca="1" si="321">L686+L687</f>
        <v>352810</v>
      </c>
      <c r="M685" s="194">
        <f t="shared" ca="1" si="321"/>
        <v>262705</v>
      </c>
      <c r="N685" s="194">
        <f t="shared" ca="1" si="321"/>
        <v>262705</v>
      </c>
      <c r="O685" s="194">
        <f t="shared" ref="O685:O688" ca="1" si="322">IF(L685&gt;0,N685*100/L685,0)</f>
        <v>74.460757915025084</v>
      </c>
      <c r="P685" s="194">
        <f t="shared" ref="P685:P688" ca="1" si="323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4" t="s">
        <v>12</v>
      </c>
      <c r="I686" s="43"/>
      <c r="J686" s="43"/>
      <c r="K686" s="44"/>
      <c r="L686" s="44">
        <f t="shared" ref="L686:N686" si="324">L689+L696</f>
        <v>0</v>
      </c>
      <c r="M686" s="44">
        <f t="shared" si="324"/>
        <v>0</v>
      </c>
      <c r="N686" s="44">
        <f t="shared" si="324"/>
        <v>0</v>
      </c>
      <c r="O686" s="44">
        <f t="shared" si="322"/>
        <v>0</v>
      </c>
      <c r="P686" s="44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4" t="s">
        <v>12</v>
      </c>
      <c r="I687" s="43"/>
      <c r="J687" s="43"/>
      <c r="K687" s="44"/>
      <c r="L687" s="44">
        <f t="shared" ref="L687:N687" ca="1" si="325">L690+L697</f>
        <v>352810</v>
      </c>
      <c r="M687" s="44">
        <f t="shared" ca="1" si="325"/>
        <v>262705</v>
      </c>
      <c r="N687" s="44">
        <f t="shared" ca="1" si="325"/>
        <v>262705</v>
      </c>
      <c r="O687" s="44">
        <f t="shared" ca="1" si="322"/>
        <v>74.460757915025084</v>
      </c>
      <c r="P687" s="44">
        <f t="shared" ca="1" si="323"/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8"/>
      <c r="H688" s="160" t="s">
        <v>12</v>
      </c>
      <c r="I688" s="161"/>
      <c r="J688" s="161"/>
      <c r="K688" s="162"/>
      <c r="L688" s="37">
        <f t="shared" ref="L688:N688" ca="1" si="326">L689+L690</f>
        <v>352810</v>
      </c>
      <c r="M688" s="37">
        <f t="shared" ca="1" si="326"/>
        <v>262705</v>
      </c>
      <c r="N688" s="37">
        <f t="shared" ca="1" si="326"/>
        <v>262705</v>
      </c>
      <c r="O688" s="37">
        <f t="shared" ca="1" si="322"/>
        <v>74.460757915025084</v>
      </c>
      <c r="P688" s="37">
        <f t="shared" ca="1" si="323"/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4" t="s">
        <v>12</v>
      </c>
      <c r="I689" s="43"/>
      <c r="J689" s="43"/>
      <c r="K689" s="44"/>
      <c r="L689" s="92">
        <v>0</v>
      </c>
      <c r="M689" s="92">
        <v>0</v>
      </c>
      <c r="N689" s="92">
        <v>0</v>
      </c>
      <c r="O689" s="44"/>
      <c r="P689" s="44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4" t="s">
        <v>12</v>
      </c>
      <c r="I690" s="43"/>
      <c r="J690" s="43"/>
      <c r="K690" s="44"/>
      <c r="L690" s="44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2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"),262705)</f>
        <v>262705</v>
      </c>
      <c r="N690" s="44">
        <f ca="1">N691+N692+N693+N694</f>
        <v>262705</v>
      </c>
      <c r="O690" s="44">
        <f ca="1">IF(L690&gt;0,N690*100/L690,0)</f>
        <v>74.460757915025084</v>
      </c>
      <c r="P690" s="44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8"/>
      <c r="H691" s="160" t="s">
        <v>12</v>
      </c>
      <c r="I691" s="36"/>
      <c r="J691" s="36"/>
      <c r="K691" s="37"/>
      <c r="L691" s="37"/>
      <c r="M691" s="37"/>
      <c r="N691" s="283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7"/>
      <c r="P691" s="3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8"/>
      <c r="H692" s="160" t="s">
        <v>12</v>
      </c>
      <c r="I692" s="36"/>
      <c r="J692" s="36"/>
      <c r="K692" s="37"/>
      <c r="L692" s="37"/>
      <c r="M692" s="37"/>
      <c r="N692" s="283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"),39170)</f>
        <v>39170</v>
      </c>
      <c r="O692" s="37"/>
      <c r="P692" s="3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8"/>
      <c r="H693" s="160" t="s">
        <v>12</v>
      </c>
      <c r="I693" s="36"/>
      <c r="J693" s="36"/>
      <c r="K693" s="37"/>
      <c r="L693" s="37"/>
      <c r="M693" s="37"/>
      <c r="N693" s="283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7"/>
      <c r="P693" s="3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8"/>
      <c r="H694" s="160" t="s">
        <v>12</v>
      </c>
      <c r="I694" s="36"/>
      <c r="J694" s="36"/>
      <c r="K694" s="37"/>
      <c r="L694" s="37"/>
      <c r="M694" s="37"/>
      <c r="N694" s="283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"),223535)</f>
        <v>223535</v>
      </c>
      <c r="O694" s="37"/>
      <c r="P694" s="3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8"/>
      <c r="H695" s="167" t="s">
        <v>12</v>
      </c>
      <c r="I695" s="161"/>
      <c r="J695" s="161"/>
      <c r="K695" s="162"/>
      <c r="L695" s="37">
        <f t="shared" ref="L695:N695" si="327">L696+L697</f>
        <v>0</v>
      </c>
      <c r="M695" s="37">
        <f t="shared" si="327"/>
        <v>0</v>
      </c>
      <c r="N695" s="37">
        <f t="shared" si="327"/>
        <v>0</v>
      </c>
      <c r="O695" s="37">
        <f t="shared" ref="O695:O697" si="328">IF(L695&gt;0,N695*100/L695,0)</f>
        <v>0</v>
      </c>
      <c r="P695" s="37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44">
        <f t="shared" si="328"/>
        <v>0</v>
      </c>
      <c r="P696" s="44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44">
        <f t="shared" si="328"/>
        <v>0</v>
      </c>
      <c r="P697" s="44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1"/>
      <c r="J698" s="161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294</v>
      </c>
      <c r="E699" s="758"/>
      <c r="F699" s="571"/>
      <c r="G699" s="188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6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"),50.4)</f>
        <v>50.4</v>
      </c>
      <c r="K699" s="37">
        <f t="shared" ref="K699:K701" ca="1" si="330">IF(I699&gt;0,J699*100/I699,0)</f>
        <v>28.8</v>
      </c>
      <c r="L699" s="37"/>
      <c r="M699" s="188"/>
      <c r="N699" s="761"/>
      <c r="O699" s="37"/>
      <c r="P699" s="3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295</v>
      </c>
      <c r="E700" s="571"/>
      <c r="F700" s="571"/>
      <c r="G700" s="188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6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"),51)</f>
        <v>51</v>
      </c>
      <c r="K700" s="37">
        <f t="shared" ca="1" si="330"/>
        <v>36.956521739130437</v>
      </c>
      <c r="L700" s="37"/>
      <c r="M700" s="188"/>
      <c r="N700" s="761"/>
      <c r="O700" s="37"/>
      <c r="P700" s="3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296</v>
      </c>
      <c r="E701" s="571"/>
      <c r="F701" s="571"/>
      <c r="G701" s="188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3">
        <f ca="1">J704+J707</f>
        <v>1736.62</v>
      </c>
      <c r="K701" s="194">
        <f t="shared" ca="1" si="330"/>
        <v>94.330255296034764</v>
      </c>
      <c r="L701" s="37"/>
      <c r="M701" s="188"/>
      <c r="N701" s="761"/>
      <c r="O701" s="37"/>
      <c r="P701" s="3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297</v>
      </c>
      <c r="F702" s="571"/>
      <c r="G702" s="188"/>
      <c r="H702" s="181" t="s">
        <v>35</v>
      </c>
      <c r="I702" s="760"/>
      <c r="J702" s="182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"),137)</f>
        <v>137</v>
      </c>
      <c r="K702" s="37"/>
      <c r="L702" s="37"/>
      <c r="M702" s="188"/>
      <c r="N702" s="761"/>
      <c r="O702" s="37"/>
      <c r="P702" s="3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8"/>
      <c r="H703" s="181" t="s">
        <v>34</v>
      </c>
      <c r="I703" s="760"/>
      <c r="J703" s="182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"),157)</f>
        <v>157</v>
      </c>
      <c r="K703" s="37"/>
      <c r="L703" s="37"/>
      <c r="M703" s="188"/>
      <c r="N703" s="761"/>
      <c r="O703" s="37"/>
      <c r="P703" s="3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8"/>
      <c r="H704" s="181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2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"),1053.62)</f>
        <v>1053.6199999999999</v>
      </c>
      <c r="K704" s="37"/>
      <c r="L704" s="37"/>
      <c r="M704" s="188"/>
      <c r="N704" s="761"/>
      <c r="O704" s="37"/>
      <c r="P704" s="3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298</v>
      </c>
      <c r="F705" s="571"/>
      <c r="G705" s="188"/>
      <c r="H705" s="181" t="s">
        <v>35</v>
      </c>
      <c r="I705" s="760"/>
      <c r="J705" s="182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"),50)</f>
        <v>50</v>
      </c>
      <c r="K705" s="37"/>
      <c r="L705" s="37"/>
      <c r="M705" s="188"/>
      <c r="N705" s="761"/>
      <c r="O705" s="37"/>
      <c r="P705" s="3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8"/>
      <c r="H706" s="181" t="s">
        <v>34</v>
      </c>
      <c r="I706" s="760"/>
      <c r="J706" s="182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"),64)</f>
        <v>64</v>
      </c>
      <c r="K706" s="37"/>
      <c r="L706" s="37"/>
      <c r="M706" s="188"/>
      <c r="N706" s="761"/>
      <c r="O706" s="37"/>
      <c r="P706" s="3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8"/>
      <c r="H707" s="181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2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"),683)</f>
        <v>683</v>
      </c>
      <c r="K707" s="37"/>
      <c r="L707" s="37"/>
      <c r="M707" s="188"/>
      <c r="N707" s="761"/>
      <c r="O707" s="37"/>
      <c r="P707" s="3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299</v>
      </c>
      <c r="E708" s="571"/>
      <c r="F708" s="571"/>
      <c r="G708" s="188"/>
      <c r="H708" s="191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3">
        <f ca="1">J714+J717</f>
        <v>1349.83</v>
      </c>
      <c r="K708" s="194">
        <f ca="1">IF(I708&gt;0,J708*100/I708,0)</f>
        <v>59.700574966828839</v>
      </c>
      <c r="L708" s="37"/>
      <c r="M708" s="188"/>
      <c r="N708" s="761"/>
      <c r="O708" s="37"/>
      <c r="P708" s="3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300</v>
      </c>
      <c r="F709" s="571"/>
      <c r="G709" s="188"/>
      <c r="H709" s="181" t="s">
        <v>34</v>
      </c>
      <c r="I709" s="760"/>
      <c r="J709" s="182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"),77)</f>
        <v>77</v>
      </c>
      <c r="K709" s="37"/>
      <c r="L709" s="761"/>
      <c r="M709" s="188"/>
      <c r="N709" s="761"/>
      <c r="O709" s="37"/>
      <c r="P709" s="3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8"/>
      <c r="H710" s="181" t="s">
        <v>46</v>
      </c>
      <c r="I710" s="760"/>
      <c r="J710" s="182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"),914)</f>
        <v>914</v>
      </c>
      <c r="K710" s="37"/>
      <c r="L710" s="761"/>
      <c r="M710" s="188"/>
      <c r="N710" s="761"/>
      <c r="O710" s="37"/>
      <c r="P710" s="3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301</v>
      </c>
      <c r="F711" s="571"/>
      <c r="G711" s="188"/>
      <c r="H711" s="174"/>
      <c r="I711" s="760"/>
      <c r="J711" s="36"/>
      <c r="K711" s="37"/>
      <c r="L711" s="761"/>
      <c r="M711" s="188"/>
      <c r="N711" s="761"/>
      <c r="O711" s="37"/>
      <c r="P711" s="3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302</v>
      </c>
      <c r="G712" s="188"/>
      <c r="H712" s="181" t="s">
        <v>35</v>
      </c>
      <c r="I712" s="760"/>
      <c r="J712" s="182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"),109)</f>
        <v>109</v>
      </c>
      <c r="K712" s="37"/>
      <c r="L712" s="761"/>
      <c r="M712" s="188"/>
      <c r="N712" s="761"/>
      <c r="O712" s="37"/>
      <c r="P712" s="3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8"/>
      <c r="H713" s="181" t="s">
        <v>34</v>
      </c>
      <c r="I713" s="760"/>
      <c r="J713" s="182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"),106)</f>
        <v>106</v>
      </c>
      <c r="K713" s="37"/>
      <c r="L713" s="761"/>
      <c r="M713" s="188"/>
      <c r="N713" s="761"/>
      <c r="O713" s="37"/>
      <c r="P713" s="3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8"/>
      <c r="H714" s="181" t="s">
        <v>46</v>
      </c>
      <c r="I714" s="760"/>
      <c r="J714" s="182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"),853.83)</f>
        <v>853.83</v>
      </c>
      <c r="K714" s="37"/>
      <c r="L714" s="761"/>
      <c r="M714" s="188"/>
      <c r="N714" s="761"/>
      <c r="O714" s="37"/>
      <c r="P714" s="3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303</v>
      </c>
      <c r="G715" s="188"/>
      <c r="H715" s="181" t="s">
        <v>35</v>
      </c>
      <c r="I715" s="760"/>
      <c r="J715" s="182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"),36)</f>
        <v>36</v>
      </c>
      <c r="K715" s="37"/>
      <c r="L715" s="761"/>
      <c r="M715" s="188"/>
      <c r="N715" s="761"/>
      <c r="O715" s="37"/>
      <c r="P715" s="3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8"/>
      <c r="H716" s="181" t="s">
        <v>34</v>
      </c>
      <c r="I716" s="760"/>
      <c r="J716" s="182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"),50)</f>
        <v>50</v>
      </c>
      <c r="K716" s="37"/>
      <c r="L716" s="761"/>
      <c r="M716" s="188"/>
      <c r="N716" s="761"/>
      <c r="O716" s="37"/>
      <c r="P716" s="3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8"/>
      <c r="H717" s="181" t="s">
        <v>46</v>
      </c>
      <c r="I717" s="760"/>
      <c r="J717" s="182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"),496)</f>
        <v>496</v>
      </c>
      <c r="K717" s="37"/>
      <c r="L717" s="761"/>
      <c r="M717" s="188"/>
      <c r="N717" s="761"/>
      <c r="O717" s="37"/>
      <c r="P717" s="3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304</v>
      </c>
      <c r="E718" s="571"/>
      <c r="F718" s="571"/>
      <c r="G718" s="188"/>
      <c r="H718" s="181" t="s">
        <v>35</v>
      </c>
      <c r="I718" s="760"/>
      <c r="J718" s="36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"),129)</f>
        <v>129</v>
      </c>
      <c r="K718" s="37"/>
      <c r="L718" s="37"/>
      <c r="M718" s="188"/>
      <c r="N718" s="761"/>
      <c r="O718" s="37"/>
      <c r="P718" s="3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8"/>
      <c r="H719" s="181" t="s">
        <v>34</v>
      </c>
      <c r="I719" s="760"/>
      <c r="J719" s="36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"),146)</f>
        <v>146</v>
      </c>
      <c r="K719" s="37"/>
      <c r="L719" s="761"/>
      <c r="M719" s="188"/>
      <c r="N719" s="761"/>
      <c r="O719" s="37"/>
      <c r="P719" s="3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8"/>
      <c r="H720" s="181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6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"),1681.89999999999)</f>
        <v>1681.8999999999901</v>
      </c>
      <c r="K720" s="37">
        <f t="shared" ref="K720:K723" ca="1" si="331">IF(I720&gt;0,J720*100/I720,0)</f>
        <v>83.635007458975139</v>
      </c>
      <c r="L720" s="761"/>
      <c r="M720" s="188"/>
      <c r="N720" s="761"/>
      <c r="O720" s="37"/>
      <c r="P720" s="3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305</v>
      </c>
      <c r="E721" s="571"/>
      <c r="F721" s="571"/>
      <c r="G721" s="188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3">
        <f ca="1">J723+J726</f>
        <v>212</v>
      </c>
      <c r="K721" s="194">
        <f t="shared" ca="1" si="331"/>
        <v>87.603305785123965</v>
      </c>
      <c r="L721" s="761"/>
      <c r="M721" s="188"/>
      <c r="N721" s="761"/>
      <c r="O721" s="37"/>
      <c r="P721" s="3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8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3">
        <f ca="1">J725+J728</f>
        <v>2426.0204999999901</v>
      </c>
      <c r="K722" s="194">
        <f t="shared" ca="1" si="331"/>
        <v>98.578646891507105</v>
      </c>
      <c r="L722" s="37"/>
      <c r="M722" s="188"/>
      <c r="N722" s="761"/>
      <c r="O722" s="37"/>
      <c r="P722" s="3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306</v>
      </c>
      <c r="F723" s="571"/>
      <c r="G723" s="188"/>
      <c r="H723" s="181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6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"),155)</f>
        <v>155</v>
      </c>
      <c r="K723" s="37">
        <f t="shared" ca="1" si="331"/>
        <v>85.635359116022101</v>
      </c>
      <c r="L723" s="37"/>
      <c r="M723" s="188"/>
      <c r="N723" s="761"/>
      <c r="O723" s="37"/>
      <c r="P723" s="3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8"/>
      <c r="H724" s="181" t="s">
        <v>34</v>
      </c>
      <c r="I724" s="760"/>
      <c r="J724" s="36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"),184)</f>
        <v>184</v>
      </c>
      <c r="K724" s="37"/>
      <c r="L724" s="761"/>
      <c r="M724" s="188"/>
      <c r="N724" s="761"/>
      <c r="O724" s="37"/>
      <c r="P724" s="3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8"/>
      <c r="H725" s="181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6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"),2091.17249999999)</f>
        <v>2091.1724999999901</v>
      </c>
      <c r="K725" s="37">
        <f t="shared" ref="K725:K726" ca="1" si="332">IF(I725&gt;0,J725*100/I725,0)</f>
        <v>110.17768703898788</v>
      </c>
      <c r="L725" s="761"/>
      <c r="M725" s="188"/>
      <c r="N725" s="761"/>
      <c r="O725" s="37"/>
      <c r="P725" s="3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307</v>
      </c>
      <c r="F726" s="571"/>
      <c r="G726" s="188"/>
      <c r="H726" s="181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6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"),57)</f>
        <v>57</v>
      </c>
      <c r="K726" s="37">
        <f t="shared" ca="1" si="332"/>
        <v>93.442622950819668</v>
      </c>
      <c r="L726" s="37"/>
      <c r="M726" s="188"/>
      <c r="N726" s="761"/>
      <c r="O726" s="37"/>
      <c r="P726" s="3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8"/>
      <c r="H727" s="181" t="s">
        <v>34</v>
      </c>
      <c r="I727" s="760"/>
      <c r="J727" s="36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"),67)</f>
        <v>67</v>
      </c>
      <c r="K727" s="37"/>
      <c r="L727" s="761"/>
      <c r="M727" s="188"/>
      <c r="N727" s="761"/>
      <c r="O727" s="37"/>
      <c r="P727" s="3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8"/>
      <c r="H728" s="181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6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"),334.848)</f>
        <v>334.84800000000001</v>
      </c>
      <c r="K728" s="37">
        <f t="shared" ref="K728:K729" ca="1" si="333">IF(I728&gt;0,J728*100/I728,0)</f>
        <v>59.475666074600362</v>
      </c>
      <c r="L728" s="761"/>
      <c r="M728" s="188"/>
      <c r="N728" s="761"/>
      <c r="O728" s="37"/>
      <c r="P728" s="3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308</v>
      </c>
      <c r="E729" s="571"/>
      <c r="F729" s="571"/>
      <c r="G729" s="188"/>
      <c r="H729" s="191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3">
        <f ca="1">J732+J735</f>
        <v>841.13750000000005</v>
      </c>
      <c r="K729" s="194">
        <f t="shared" ca="1" si="333"/>
        <v>153.77285191956125</v>
      </c>
      <c r="L729" s="37"/>
      <c r="M729" s="188"/>
      <c r="N729" s="761"/>
      <c r="O729" s="37"/>
      <c r="P729" s="3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309</v>
      </c>
      <c r="F730" s="571"/>
      <c r="G730" s="188"/>
      <c r="H730" s="181" t="s">
        <v>35</v>
      </c>
      <c r="I730" s="760"/>
      <c r="J730" s="182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"),21)</f>
        <v>21</v>
      </c>
      <c r="K730" s="37"/>
      <c r="L730" s="761"/>
      <c r="M730" s="37"/>
      <c r="N730" s="761"/>
      <c r="O730" s="37"/>
      <c r="P730" s="3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8"/>
      <c r="H731" s="181" t="s">
        <v>34</v>
      </c>
      <c r="I731" s="760"/>
      <c r="J731" s="182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"),16)</f>
        <v>16</v>
      </c>
      <c r="K731" s="37"/>
      <c r="L731" s="761"/>
      <c r="M731" s="37"/>
      <c r="N731" s="761"/>
      <c r="O731" s="37"/>
      <c r="P731" s="3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8"/>
      <c r="H732" s="181" t="s">
        <v>46</v>
      </c>
      <c r="I732" s="760"/>
      <c r="J732" s="182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"),297.75)</f>
        <v>297.75</v>
      </c>
      <c r="K732" s="37"/>
      <c r="L732" s="761"/>
      <c r="M732" s="37"/>
      <c r="N732" s="761"/>
      <c r="O732" s="37"/>
      <c r="P732" s="3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310</v>
      </c>
      <c r="F733" s="571"/>
      <c r="G733" s="188"/>
      <c r="H733" s="181" t="s">
        <v>35</v>
      </c>
      <c r="I733" s="760"/>
      <c r="J733" s="182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"),47)</f>
        <v>47</v>
      </c>
      <c r="K733" s="37"/>
      <c r="L733" s="761"/>
      <c r="M733" s="37"/>
      <c r="N733" s="761"/>
      <c r="O733" s="37"/>
      <c r="P733" s="3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8"/>
      <c r="H734" s="181" t="s">
        <v>34</v>
      </c>
      <c r="I734" s="760"/>
      <c r="J734" s="182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"),44)</f>
        <v>44</v>
      </c>
      <c r="K734" s="37"/>
      <c r="L734" s="761"/>
      <c r="M734" s="37"/>
      <c r="N734" s="761"/>
      <c r="O734" s="37"/>
      <c r="P734" s="3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"),543.3875)</f>
        <v>543.38750000000005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91" t="s">
        <v>17</v>
      </c>
      <c r="E737" s="887"/>
      <c r="F737" s="887"/>
      <c r="G737" s="598"/>
      <c r="H737" s="641" t="s">
        <v>12</v>
      </c>
      <c r="I737" s="43"/>
      <c r="J737" s="43"/>
      <c r="K737" s="44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4" t="s">
        <v>12</v>
      </c>
      <c r="I738" s="43"/>
      <c r="J738" s="43"/>
      <c r="K738" s="44"/>
      <c r="L738" s="44">
        <f t="shared" ref="L738:N738" si="337">L741+L748</f>
        <v>0</v>
      </c>
      <c r="M738" s="44">
        <f t="shared" si="337"/>
        <v>0</v>
      </c>
      <c r="N738" s="44">
        <f t="shared" si="337"/>
        <v>0</v>
      </c>
      <c r="O738" s="44">
        <f t="shared" si="335"/>
        <v>0</v>
      </c>
      <c r="P738" s="44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4" t="s">
        <v>12</v>
      </c>
      <c r="I739" s="43"/>
      <c r="J739" s="43"/>
      <c r="K739" s="44"/>
      <c r="L739" s="44">
        <f t="shared" ref="L739:N739" si="338">L742+L749</f>
        <v>0</v>
      </c>
      <c r="M739" s="44">
        <f t="shared" si="338"/>
        <v>0</v>
      </c>
      <c r="N739" s="44">
        <f t="shared" si="338"/>
        <v>0</v>
      </c>
      <c r="O739" s="44">
        <f t="shared" si="335"/>
        <v>0</v>
      </c>
      <c r="P739" s="44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5"/>
      <c r="J740" s="165"/>
      <c r="K740" s="166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4" t="s">
        <v>12</v>
      </c>
      <c r="I741" s="43"/>
      <c r="J741" s="43"/>
      <c r="K741" s="44"/>
      <c r="L741" s="92">
        <v>0</v>
      </c>
      <c r="M741" s="92">
        <v>0</v>
      </c>
      <c r="N741" s="92">
        <v>0</v>
      </c>
      <c r="O741" s="44">
        <f t="shared" si="335"/>
        <v>0</v>
      </c>
      <c r="P741" s="44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4" t="s">
        <v>12</v>
      </c>
      <c r="I742" s="43"/>
      <c r="J742" s="43"/>
      <c r="K742" s="44"/>
      <c r="L742" s="92">
        <v>0</v>
      </c>
      <c r="M742" s="92">
        <v>0</v>
      </c>
      <c r="N742" s="44">
        <f>N743+N744+N745+N746</f>
        <v>0</v>
      </c>
      <c r="O742" s="44">
        <f t="shared" si="335"/>
        <v>0</v>
      </c>
      <c r="P742" s="44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186</v>
      </c>
      <c r="G743" s="598"/>
      <c r="H743" s="164" t="s">
        <v>12</v>
      </c>
      <c r="I743" s="43"/>
      <c r="J743" s="43"/>
      <c r="K743" s="44"/>
      <c r="L743" s="44"/>
      <c r="M743" s="44"/>
      <c r="N743" s="44"/>
      <c r="O743" s="44"/>
      <c r="P743" s="44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187</v>
      </c>
      <c r="G744" s="598"/>
      <c r="H744" s="164" t="s">
        <v>12</v>
      </c>
      <c r="I744" s="43"/>
      <c r="J744" s="43"/>
      <c r="K744" s="44"/>
      <c r="L744" s="44"/>
      <c r="M744" s="44"/>
      <c r="N744" s="44"/>
      <c r="O744" s="44"/>
      <c r="P744" s="44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188</v>
      </c>
      <c r="G745" s="598"/>
      <c r="H745" s="164" t="s">
        <v>12</v>
      </c>
      <c r="I745" s="43"/>
      <c r="J745" s="43"/>
      <c r="K745" s="44"/>
      <c r="L745" s="44"/>
      <c r="M745" s="44"/>
      <c r="N745" s="44"/>
      <c r="O745" s="44"/>
      <c r="P745" s="44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189</v>
      </c>
      <c r="G746" s="598"/>
      <c r="H746" s="164" t="s">
        <v>12</v>
      </c>
      <c r="I746" s="43"/>
      <c r="J746" s="43"/>
      <c r="K746" s="44"/>
      <c r="L746" s="44"/>
      <c r="M746" s="44"/>
      <c r="N746" s="44"/>
      <c r="O746" s="44"/>
      <c r="P746" s="44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5"/>
      <c r="J747" s="165"/>
      <c r="K747" s="166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44">
        <f t="shared" si="341"/>
        <v>0</v>
      </c>
      <c r="P748" s="44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44">
        <f t="shared" si="341"/>
        <v>0</v>
      </c>
      <c r="P749" s="44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313</v>
      </c>
      <c r="F751" s="595"/>
      <c r="G751" s="598"/>
      <c r="H751" s="164" t="s">
        <v>46</v>
      </c>
      <c r="I751" s="43"/>
      <c r="J751" s="43"/>
      <c r="K751" s="44"/>
      <c r="L751" s="44"/>
      <c r="M751" s="44"/>
      <c r="N751" s="44"/>
      <c r="O751" s="44"/>
      <c r="P751" s="44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4" t="s">
        <v>314</v>
      </c>
      <c r="I752" s="43"/>
      <c r="J752" s="43"/>
      <c r="K752" s="44"/>
      <c r="L752" s="44"/>
      <c r="M752" s="44"/>
      <c r="N752" s="44"/>
      <c r="O752" s="44"/>
      <c r="P752" s="44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91" t="s">
        <v>17</v>
      </c>
      <c r="E754" s="887"/>
      <c r="F754" s="887"/>
      <c r="G754" s="598"/>
      <c r="H754" s="641" t="s">
        <v>12</v>
      </c>
      <c r="I754" s="43"/>
      <c r="J754" s="43"/>
      <c r="K754" s="44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4" t="s">
        <v>12</v>
      </c>
      <c r="I755" s="43"/>
      <c r="J755" s="43"/>
      <c r="K755" s="44"/>
      <c r="L755" s="44">
        <f t="shared" ref="L755:N755" si="346">L758+L765</f>
        <v>0</v>
      </c>
      <c r="M755" s="44">
        <f t="shared" si="346"/>
        <v>0</v>
      </c>
      <c r="N755" s="44">
        <f t="shared" si="346"/>
        <v>0</v>
      </c>
      <c r="O755" s="44">
        <f t="shared" si="344"/>
        <v>0</v>
      </c>
      <c r="P755" s="44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4" t="s">
        <v>12</v>
      </c>
      <c r="I756" s="43"/>
      <c r="J756" s="43"/>
      <c r="K756" s="44"/>
      <c r="L756" s="44">
        <f t="shared" ref="L756:N756" si="347">L759+L766</f>
        <v>0</v>
      </c>
      <c r="M756" s="44">
        <f t="shared" si="347"/>
        <v>0</v>
      </c>
      <c r="N756" s="44">
        <f t="shared" si="347"/>
        <v>0</v>
      </c>
      <c r="O756" s="44">
        <f t="shared" si="344"/>
        <v>0</v>
      </c>
      <c r="P756" s="44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5"/>
      <c r="J757" s="165"/>
      <c r="K757" s="166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4" t="s">
        <v>12</v>
      </c>
      <c r="I758" s="43"/>
      <c r="J758" s="43"/>
      <c r="K758" s="44"/>
      <c r="L758" s="92">
        <v>0</v>
      </c>
      <c r="M758" s="92">
        <v>0</v>
      </c>
      <c r="N758" s="92">
        <v>0</v>
      </c>
      <c r="O758" s="44">
        <f t="shared" si="344"/>
        <v>0</v>
      </c>
      <c r="P758" s="44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4" t="s">
        <v>12</v>
      </c>
      <c r="I759" s="43"/>
      <c r="J759" s="43"/>
      <c r="K759" s="44"/>
      <c r="L759" s="92">
        <v>0</v>
      </c>
      <c r="M759" s="92">
        <v>0</v>
      </c>
      <c r="N759" s="44">
        <f>N760+N761+N762+N763</f>
        <v>0</v>
      </c>
      <c r="O759" s="44">
        <f t="shared" si="344"/>
        <v>0</v>
      </c>
      <c r="P759" s="44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186</v>
      </c>
      <c r="G760" s="598"/>
      <c r="H760" s="164" t="s">
        <v>12</v>
      </c>
      <c r="I760" s="43"/>
      <c r="J760" s="43"/>
      <c r="K760" s="44"/>
      <c r="L760" s="92"/>
      <c r="M760" s="44"/>
      <c r="N760" s="44"/>
      <c r="O760" s="44"/>
      <c r="P760" s="44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187</v>
      </c>
      <c r="G761" s="598"/>
      <c r="H761" s="164" t="s">
        <v>12</v>
      </c>
      <c r="I761" s="43"/>
      <c r="J761" s="43"/>
      <c r="K761" s="44"/>
      <c r="L761" s="44"/>
      <c r="M761" s="44"/>
      <c r="N761" s="44"/>
      <c r="O761" s="44"/>
      <c r="P761" s="44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188</v>
      </c>
      <c r="G762" s="598"/>
      <c r="H762" s="164" t="s">
        <v>12</v>
      </c>
      <c r="I762" s="43"/>
      <c r="J762" s="43"/>
      <c r="K762" s="44"/>
      <c r="L762" s="44"/>
      <c r="M762" s="44"/>
      <c r="N762" s="44"/>
      <c r="O762" s="44"/>
      <c r="P762" s="44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189</v>
      </c>
      <c r="G763" s="598"/>
      <c r="H763" s="164" t="s">
        <v>12</v>
      </c>
      <c r="I763" s="43"/>
      <c r="J763" s="43"/>
      <c r="K763" s="44"/>
      <c r="L763" s="44"/>
      <c r="M763" s="44"/>
      <c r="N763" s="44"/>
      <c r="O763" s="44"/>
      <c r="P763" s="44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5"/>
      <c r="J764" s="165"/>
      <c r="K764" s="166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44">
        <f t="shared" si="350"/>
        <v>0</v>
      </c>
      <c r="P765" s="44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44">
        <f t="shared" si="350"/>
        <v>0</v>
      </c>
      <c r="P766" s="44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316</v>
      </c>
      <c r="F768" s="595"/>
      <c r="G768" s="598"/>
      <c r="H768" s="164" t="s">
        <v>46</v>
      </c>
      <c r="I768" s="43"/>
      <c r="J768" s="43"/>
      <c r="K768" s="44"/>
      <c r="L768" s="44"/>
      <c r="M768" s="44"/>
      <c r="N768" s="44"/>
      <c r="O768" s="44"/>
      <c r="P768" s="44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91" t="s">
        <v>17</v>
      </c>
      <c r="E770" s="887"/>
      <c r="F770" s="887"/>
      <c r="G770" s="598"/>
      <c r="H770" s="641" t="s">
        <v>12</v>
      </c>
      <c r="I770" s="43"/>
      <c r="J770" s="43"/>
      <c r="K770" s="44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4" t="s">
        <v>12</v>
      </c>
      <c r="I771" s="43"/>
      <c r="J771" s="43"/>
      <c r="K771" s="44"/>
      <c r="L771" s="44">
        <f t="shared" ref="L771:N771" si="355">L774+L781</f>
        <v>0</v>
      </c>
      <c r="M771" s="44">
        <f t="shared" si="355"/>
        <v>0</v>
      </c>
      <c r="N771" s="44">
        <f t="shared" si="355"/>
        <v>0</v>
      </c>
      <c r="O771" s="44">
        <f t="shared" si="353"/>
        <v>0</v>
      </c>
      <c r="P771" s="44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4" t="s">
        <v>12</v>
      </c>
      <c r="I772" s="43"/>
      <c r="J772" s="43"/>
      <c r="K772" s="44"/>
      <c r="L772" s="44">
        <f t="shared" ref="L772:N772" si="356">L775+L782</f>
        <v>0</v>
      </c>
      <c r="M772" s="44">
        <f t="shared" si="356"/>
        <v>0</v>
      </c>
      <c r="N772" s="44">
        <f t="shared" si="356"/>
        <v>0</v>
      </c>
      <c r="O772" s="44">
        <f t="shared" si="353"/>
        <v>0</v>
      </c>
      <c r="P772" s="44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5"/>
      <c r="J773" s="165"/>
      <c r="K773" s="166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4" t="s">
        <v>12</v>
      </c>
      <c r="I774" s="43"/>
      <c r="J774" s="43"/>
      <c r="K774" s="44"/>
      <c r="L774" s="92">
        <v>0</v>
      </c>
      <c r="M774" s="92">
        <v>0</v>
      </c>
      <c r="N774" s="92">
        <v>0</v>
      </c>
      <c r="O774" s="44">
        <f t="shared" si="353"/>
        <v>0</v>
      </c>
      <c r="P774" s="44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4" t="s">
        <v>12</v>
      </c>
      <c r="I775" s="43"/>
      <c r="J775" s="43"/>
      <c r="K775" s="44"/>
      <c r="L775" s="92">
        <v>0</v>
      </c>
      <c r="M775" s="92">
        <v>0</v>
      </c>
      <c r="N775" s="44">
        <f>N776+N777+N778+N779</f>
        <v>0</v>
      </c>
      <c r="O775" s="44">
        <f t="shared" si="353"/>
        <v>0</v>
      </c>
      <c r="P775" s="44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186</v>
      </c>
      <c r="G776" s="598"/>
      <c r="H776" s="164" t="s">
        <v>12</v>
      </c>
      <c r="I776" s="43"/>
      <c r="J776" s="43"/>
      <c r="K776" s="44"/>
      <c r="L776" s="44"/>
      <c r="M776" s="44"/>
      <c r="N776" s="44"/>
      <c r="O776" s="44"/>
      <c r="P776" s="44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187</v>
      </c>
      <c r="G777" s="598"/>
      <c r="H777" s="164" t="s">
        <v>12</v>
      </c>
      <c r="I777" s="43"/>
      <c r="J777" s="43"/>
      <c r="K777" s="44"/>
      <c r="L777" s="44"/>
      <c r="M777" s="44"/>
      <c r="N777" s="44"/>
      <c r="O777" s="44"/>
      <c r="P777" s="44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188</v>
      </c>
      <c r="G778" s="598"/>
      <c r="H778" s="164" t="s">
        <v>12</v>
      </c>
      <c r="I778" s="43"/>
      <c r="J778" s="43"/>
      <c r="K778" s="44"/>
      <c r="L778" s="44"/>
      <c r="M778" s="44"/>
      <c r="N778" s="44"/>
      <c r="O778" s="44"/>
      <c r="P778" s="44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189</v>
      </c>
      <c r="G779" s="598"/>
      <c r="H779" s="164" t="s">
        <v>12</v>
      </c>
      <c r="I779" s="43"/>
      <c r="J779" s="43"/>
      <c r="K779" s="44"/>
      <c r="L779" s="44"/>
      <c r="M779" s="44"/>
      <c r="N779" s="44"/>
      <c r="O779" s="44"/>
      <c r="P779" s="44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5"/>
      <c r="J780" s="165"/>
      <c r="K780" s="166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44">
        <f t="shared" si="359"/>
        <v>0</v>
      </c>
      <c r="P781" s="44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44">
        <f t="shared" si="359"/>
        <v>0</v>
      </c>
      <c r="P782" s="44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318</v>
      </c>
      <c r="F784" s="595"/>
      <c r="G784" s="598"/>
      <c r="H784" s="164" t="s">
        <v>46</v>
      </c>
      <c r="I784" s="43"/>
      <c r="J784" s="43"/>
      <c r="K784" s="44"/>
      <c r="L784" s="44"/>
      <c r="M784" s="44"/>
      <c r="N784" s="44"/>
      <c r="O784" s="44"/>
      <c r="P784" s="44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5066</v>
      </c>
      <c r="K785" s="803">
        <f ca="1">IF(I785&gt;0,J785*100/I785,0)</f>
        <v>101.32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86" t="s">
        <v>17</v>
      </c>
      <c r="E786" s="887"/>
      <c r="F786" s="887"/>
      <c r="G786" s="188"/>
      <c r="H786" s="805" t="s">
        <v>12</v>
      </c>
      <c r="I786" s="806"/>
      <c r="J786" s="806"/>
      <c r="K786" s="807"/>
      <c r="L786" s="194">
        <f t="shared" ref="L786:N786" ca="1" si="362">L787+L788</f>
        <v>335200</v>
      </c>
      <c r="M786" s="194">
        <f t="shared" ca="1" si="362"/>
        <v>267725.27</v>
      </c>
      <c r="N786" s="194">
        <f t="shared" ca="1" si="362"/>
        <v>267725.27</v>
      </c>
      <c r="O786" s="194">
        <f t="shared" ref="O786:O791" ca="1" si="363">IF(L786&gt;0,N786*100/L786,0)</f>
        <v>79.870307279236272</v>
      </c>
      <c r="P786" s="194">
        <f t="shared" ref="P786:P791" ca="1" si="364">IF(M786&gt;0,N786*100/M786,0)</f>
        <v>100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808" t="s">
        <v>12</v>
      </c>
      <c r="I787" s="806"/>
      <c r="J787" s="806"/>
      <c r="K787" s="807"/>
      <c r="L787" s="44">
        <f t="shared" ref="L787:N787" si="365">L790+L797</f>
        <v>0</v>
      </c>
      <c r="M787" s="44">
        <f t="shared" si="365"/>
        <v>0</v>
      </c>
      <c r="N787" s="44">
        <f t="shared" si="365"/>
        <v>0</v>
      </c>
      <c r="O787" s="44">
        <f t="shared" si="363"/>
        <v>0</v>
      </c>
      <c r="P787" s="44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808" t="s">
        <v>12</v>
      </c>
      <c r="I788" s="806"/>
      <c r="J788" s="806"/>
      <c r="K788" s="807"/>
      <c r="L788" s="44">
        <f t="shared" ref="L788:N788" ca="1" si="366">L791+L798</f>
        <v>335200</v>
      </c>
      <c r="M788" s="44">
        <f t="shared" ca="1" si="366"/>
        <v>267725.27</v>
      </c>
      <c r="N788" s="44">
        <f t="shared" ca="1" si="366"/>
        <v>267725.27</v>
      </c>
      <c r="O788" s="44">
        <f t="shared" ca="1" si="363"/>
        <v>79.870307279236272</v>
      </c>
      <c r="P788" s="44">
        <f t="shared" ca="1" si="364"/>
        <v>100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8"/>
      <c r="H789" s="809" t="s">
        <v>12</v>
      </c>
      <c r="I789" s="810"/>
      <c r="J789" s="810"/>
      <c r="K789" s="811"/>
      <c r="L789" s="37">
        <f t="shared" ref="L789:N789" ca="1" si="367">L790+L791</f>
        <v>335200</v>
      </c>
      <c r="M789" s="37">
        <f t="shared" ca="1" si="367"/>
        <v>267725.27</v>
      </c>
      <c r="N789" s="37">
        <f t="shared" ca="1" si="367"/>
        <v>267725.27</v>
      </c>
      <c r="O789" s="37">
        <f t="shared" ca="1" si="363"/>
        <v>79.870307279236272</v>
      </c>
      <c r="P789" s="37">
        <f t="shared" ca="1" si="364"/>
        <v>100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808" t="s">
        <v>12</v>
      </c>
      <c r="I790" s="806"/>
      <c r="J790" s="806"/>
      <c r="K790" s="807"/>
      <c r="L790" s="92">
        <v>0</v>
      </c>
      <c r="M790" s="92">
        <v>0</v>
      </c>
      <c r="N790" s="92">
        <v>0</v>
      </c>
      <c r="O790" s="44">
        <f t="shared" si="363"/>
        <v>0</v>
      </c>
      <c r="P790" s="44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808" t="s">
        <v>12</v>
      </c>
      <c r="I791" s="806"/>
      <c r="J791" s="806"/>
      <c r="K791" s="807"/>
      <c r="L791" s="44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2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"),267725.27)</f>
        <v>267725.27</v>
      </c>
      <c r="N791" s="44">
        <f ca="1">N792+N793+N794+N795</f>
        <v>267725.27</v>
      </c>
      <c r="O791" s="44">
        <f t="shared" ca="1" si="363"/>
        <v>79.870307279236272</v>
      </c>
      <c r="P791" s="44">
        <f t="shared" ca="1" si="364"/>
        <v>100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8"/>
      <c r="H792" s="809" t="s">
        <v>12</v>
      </c>
      <c r="I792" s="806"/>
      <c r="J792" s="806"/>
      <c r="K792" s="807"/>
      <c r="L792" s="37"/>
      <c r="M792" s="37"/>
      <c r="N792" s="283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7"/>
      <c r="P792" s="3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8"/>
      <c r="H793" s="809" t="s">
        <v>12</v>
      </c>
      <c r="I793" s="806"/>
      <c r="J793" s="806"/>
      <c r="K793" s="807"/>
      <c r="L793" s="37"/>
      <c r="M793" s="37"/>
      <c r="N793" s="283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7"/>
      <c r="P793" s="3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8"/>
      <c r="H794" s="809" t="s">
        <v>12</v>
      </c>
      <c r="I794" s="806"/>
      <c r="J794" s="806"/>
      <c r="K794" s="807"/>
      <c r="L794" s="37"/>
      <c r="M794" s="37"/>
      <c r="N794" s="283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"),103133.33)</f>
        <v>103133.33</v>
      </c>
      <c r="O794" s="37"/>
      <c r="P794" s="3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8"/>
      <c r="H795" s="809" t="s">
        <v>12</v>
      </c>
      <c r="I795" s="806"/>
      <c r="J795" s="806"/>
      <c r="K795" s="807"/>
      <c r="L795" s="37"/>
      <c r="M795" s="37"/>
      <c r="N795" s="283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"),164591.94)</f>
        <v>164591.94</v>
      </c>
      <c r="O795" s="37"/>
      <c r="P795" s="3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8"/>
      <c r="H796" s="812" t="s">
        <v>12</v>
      </c>
      <c r="I796" s="810"/>
      <c r="J796" s="810"/>
      <c r="K796" s="811"/>
      <c r="L796" s="37">
        <f t="shared" ref="L796:N796" si="368">L797+L798</f>
        <v>0</v>
      </c>
      <c r="M796" s="37">
        <f t="shared" si="368"/>
        <v>0</v>
      </c>
      <c r="N796" s="37">
        <f t="shared" si="368"/>
        <v>0</v>
      </c>
      <c r="O796" s="37">
        <f t="shared" ref="O796:O798" si="369">IF(L796&gt;0,N796*100/L796,0)</f>
        <v>0</v>
      </c>
      <c r="P796" s="37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2">
        <v>0</v>
      </c>
      <c r="M797" s="92">
        <v>0</v>
      </c>
      <c r="N797" s="92">
        <v>0</v>
      </c>
      <c r="O797" s="44">
        <f t="shared" si="369"/>
        <v>0</v>
      </c>
      <c r="P797" s="44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2">
        <v>0</v>
      </c>
      <c r="M798" s="92">
        <v>0</v>
      </c>
      <c r="N798" s="92">
        <v>0</v>
      </c>
      <c r="O798" s="44">
        <f t="shared" si="369"/>
        <v>0</v>
      </c>
      <c r="P798" s="44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6" t="s">
        <v>320</v>
      </c>
      <c r="G800" s="174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"),382)</f>
        <v>382</v>
      </c>
      <c r="K800" s="807"/>
      <c r="L800" s="37"/>
      <c r="M800" s="37"/>
      <c r="N800" s="3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4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"),5066)</f>
        <v>5066</v>
      </c>
      <c r="K801" s="818">
        <f ca="1">IF(I801&gt;0,J801*100/I801,0)</f>
        <v>101.32</v>
      </c>
      <c r="L801" s="37"/>
      <c r="M801" s="37"/>
      <c r="N801" s="3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321</v>
      </c>
      <c r="G802" s="365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5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91" t="s">
        <v>17</v>
      </c>
      <c r="E805" s="887"/>
      <c r="F805" s="887"/>
      <c r="G805" s="598"/>
      <c r="H805" s="641" t="s">
        <v>12</v>
      </c>
      <c r="I805" s="43"/>
      <c r="J805" s="43"/>
      <c r="K805" s="44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4" t="s">
        <v>12</v>
      </c>
      <c r="I806" s="43"/>
      <c r="J806" s="43"/>
      <c r="K806" s="44"/>
      <c r="L806" s="44">
        <f t="shared" ref="L806:N806" si="375">L809+L816</f>
        <v>0</v>
      </c>
      <c r="M806" s="44">
        <f t="shared" si="375"/>
        <v>0</v>
      </c>
      <c r="N806" s="44">
        <f t="shared" si="375"/>
        <v>0</v>
      </c>
      <c r="O806" s="44">
        <f t="shared" si="373"/>
        <v>0</v>
      </c>
      <c r="P806" s="44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4" t="s">
        <v>12</v>
      </c>
      <c r="I807" s="43"/>
      <c r="J807" s="43"/>
      <c r="K807" s="44"/>
      <c r="L807" s="44">
        <f t="shared" ref="L807:N807" si="376">L810+L817</f>
        <v>0</v>
      </c>
      <c r="M807" s="44">
        <f t="shared" si="376"/>
        <v>0</v>
      </c>
      <c r="N807" s="44">
        <f t="shared" si="376"/>
        <v>0</v>
      </c>
      <c r="O807" s="44">
        <f t="shared" si="373"/>
        <v>0</v>
      </c>
      <c r="P807" s="44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90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4" t="s">
        <v>12</v>
      </c>
      <c r="I809" s="43"/>
      <c r="J809" s="43"/>
      <c r="K809" s="44"/>
      <c r="L809" s="92">
        <v>0</v>
      </c>
      <c r="M809" s="92">
        <v>0</v>
      </c>
      <c r="N809" s="92">
        <v>0</v>
      </c>
      <c r="O809" s="44">
        <f t="shared" si="373"/>
        <v>0</v>
      </c>
      <c r="P809" s="44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4" t="s">
        <v>12</v>
      </c>
      <c r="I810" s="43"/>
      <c r="J810" s="43"/>
      <c r="K810" s="44"/>
      <c r="L810" s="92">
        <v>0</v>
      </c>
      <c r="M810" s="92">
        <v>0</v>
      </c>
      <c r="N810" s="44">
        <f>N811+N812+N813+N814</f>
        <v>0</v>
      </c>
      <c r="O810" s="44">
        <f t="shared" si="373"/>
        <v>0</v>
      </c>
      <c r="P810" s="44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186</v>
      </c>
      <c r="G811" s="598"/>
      <c r="H811" s="164" t="s">
        <v>12</v>
      </c>
      <c r="I811" s="43"/>
      <c r="J811" s="43"/>
      <c r="K811" s="44"/>
      <c r="L811" s="44"/>
      <c r="M811" s="44"/>
      <c r="N811" s="44"/>
      <c r="O811" s="44"/>
      <c r="P811" s="44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187</v>
      </c>
      <c r="G812" s="598"/>
      <c r="H812" s="164" t="s">
        <v>12</v>
      </c>
      <c r="I812" s="43"/>
      <c r="J812" s="43"/>
      <c r="K812" s="44"/>
      <c r="L812" s="44"/>
      <c r="M812" s="44"/>
      <c r="N812" s="44"/>
      <c r="O812" s="44"/>
      <c r="P812" s="44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188</v>
      </c>
      <c r="G813" s="598"/>
      <c r="H813" s="164" t="s">
        <v>12</v>
      </c>
      <c r="I813" s="43"/>
      <c r="J813" s="43"/>
      <c r="K813" s="44"/>
      <c r="L813" s="44"/>
      <c r="M813" s="44"/>
      <c r="N813" s="44"/>
      <c r="O813" s="44"/>
      <c r="P813" s="44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189</v>
      </c>
      <c r="G814" s="598"/>
      <c r="H814" s="164" t="s">
        <v>12</v>
      </c>
      <c r="I814" s="43"/>
      <c r="J814" s="43"/>
      <c r="K814" s="44"/>
      <c r="L814" s="44"/>
      <c r="M814" s="44"/>
      <c r="N814" s="44"/>
      <c r="O814" s="44"/>
      <c r="P814" s="44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90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44">
        <f t="shared" si="379"/>
        <v>0</v>
      </c>
      <c r="P816" s="44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44">
        <f t="shared" si="379"/>
        <v>0</v>
      </c>
      <c r="P817" s="44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323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324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325</v>
      </c>
      <c r="C821" s="571"/>
      <c r="D821" s="570"/>
      <c r="E821" s="571"/>
      <c r="F821" s="571"/>
      <c r="G821" s="188"/>
      <c r="H821" s="35" t="s">
        <v>12</v>
      </c>
      <c r="I821" s="36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"),101789717.08)</f>
        <v>101789717.08</v>
      </c>
      <c r="J821" s="36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"),97710851.9699999)</f>
        <v>97710851.969999894</v>
      </c>
      <c r="K821" s="37">
        <f t="shared" ref="K821:K828" ca="1" si="381">IF(I821&gt;0,J821*100/I821,0)</f>
        <v>95.992851510929739</v>
      </c>
      <c r="L821" s="37"/>
      <c r="M821" s="37"/>
      <c r="N821" s="37"/>
      <c r="O821" s="37"/>
      <c r="P821" s="3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8"/>
      <c r="H822" s="35" t="s">
        <v>35</v>
      </c>
      <c r="I822" s="36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"),3880)</f>
        <v>3880</v>
      </c>
      <c r="J822" s="36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"),3731)</f>
        <v>3731</v>
      </c>
      <c r="K822" s="37">
        <f t="shared" ca="1" si="381"/>
        <v>96.159793814432987</v>
      </c>
      <c r="L822" s="37"/>
      <c r="M822" s="37"/>
      <c r="N822" s="37"/>
      <c r="O822" s="37"/>
      <c r="P822" s="3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326</v>
      </c>
      <c r="C823" s="571"/>
      <c r="D823" s="570"/>
      <c r="E823" s="571"/>
      <c r="F823" s="571"/>
      <c r="G823" s="188"/>
      <c r="H823" s="35" t="s">
        <v>12</v>
      </c>
      <c r="I823" s="36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6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"),14528258.7799999)</f>
        <v>14528258.779999901</v>
      </c>
      <c r="K823" s="37">
        <f t="shared" ca="1" si="381"/>
        <v>13.848643060061537</v>
      </c>
      <c r="L823" s="37"/>
      <c r="M823" s="37"/>
      <c r="N823" s="37"/>
      <c r="O823" s="37"/>
      <c r="P823" s="3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8"/>
      <c r="H824" s="35" t="s">
        <v>35</v>
      </c>
      <c r="I824" s="36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6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"),1284)</f>
        <v>1284</v>
      </c>
      <c r="K824" s="37">
        <f t="shared" ca="1" si="381"/>
        <v>41.459476913141749</v>
      </c>
      <c r="L824" s="37"/>
      <c r="M824" s="37"/>
      <c r="N824" s="37"/>
      <c r="O824" s="37"/>
      <c r="P824" s="3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327</v>
      </c>
      <c r="C825" s="571"/>
      <c r="D825" s="570"/>
      <c r="E825" s="571"/>
      <c r="F825" s="571"/>
      <c r="G825" s="188"/>
      <c r="H825" s="35" t="s">
        <v>12</v>
      </c>
      <c r="I825" s="36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"),42170811.32)</f>
        <v>42170811.32</v>
      </c>
      <c r="J825" s="36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"),18490766.79)</f>
        <v>18490766.789999999</v>
      </c>
      <c r="K825" s="37">
        <f t="shared" ca="1" si="381"/>
        <v>43.847310998331537</v>
      </c>
      <c r="L825" s="37"/>
      <c r="M825" s="37"/>
      <c r="N825" s="37"/>
      <c r="O825" s="37"/>
      <c r="P825" s="3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8"/>
      <c r="H826" s="35" t="s">
        <v>35</v>
      </c>
      <c r="I826" s="36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"),11109)</f>
        <v>11109</v>
      </c>
      <c r="J826" s="36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"),9179)</f>
        <v>9179</v>
      </c>
      <c r="K826" s="37">
        <f t="shared" ca="1" si="381"/>
        <v>82.62669907282384</v>
      </c>
      <c r="L826" s="37"/>
      <c r="M826" s="37"/>
      <c r="N826" s="37"/>
      <c r="O826" s="37"/>
      <c r="P826" s="3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328</v>
      </c>
      <c r="C827" s="571"/>
      <c r="D827" s="570"/>
      <c r="E827" s="571"/>
      <c r="F827" s="571"/>
      <c r="G827" s="188"/>
      <c r="H827" s="35" t="s">
        <v>12</v>
      </c>
      <c r="I827" s="36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6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"),112546000)</f>
        <v>112546000</v>
      </c>
      <c r="K827" s="37">
        <f t="shared" ca="1" si="381"/>
        <v>100.11207970112079</v>
      </c>
      <c r="L827" s="37"/>
      <c r="M827" s="37"/>
      <c r="N827" s="37"/>
      <c r="O827" s="37"/>
      <c r="P827" s="3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"),2940)</f>
        <v>2940</v>
      </c>
      <c r="K828" s="502">
        <f t="shared" ca="1" si="381"/>
        <v>75.134168157423971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55118110236220474" bottom="0.55118110236220474" header="0" footer="0"/>
  <pageSetup paperSize="9" scale="38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1FF76-298C-4163-86BA-43AC48120ADE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349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3109040</v>
      </c>
      <c r="M8" s="21">
        <f ca="1">M9+M10</f>
        <v>3354271.34</v>
      </c>
      <c r="N8" s="21">
        <f ca="1">N9+N10</f>
        <v>3354271.34</v>
      </c>
      <c r="O8" s="21">
        <f t="shared" ref="O8:O16" ca="1" si="0">IF(L8&gt;0,N8*100/L8,0)</f>
        <v>107.88768687440496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3109040</v>
      </c>
      <c r="M10" s="29">
        <f t="shared" ca="1" si="2"/>
        <v>3354271.34</v>
      </c>
      <c r="N10" s="29">
        <f t="shared" ca="1" si="2"/>
        <v>3354271.34</v>
      </c>
      <c r="O10" s="29">
        <f t="shared" ca="1" si="0"/>
        <v>107.88768687440496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2995240</v>
      </c>
      <c r="M11" s="497">
        <f ca="1">M12+M13</f>
        <v>3240471.34</v>
      </c>
      <c r="N11" s="497">
        <f ca="1">N12+N13</f>
        <v>3240471.34</v>
      </c>
      <c r="O11" s="497">
        <f t="shared" ca="1" si="0"/>
        <v>108.18736862488481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2995240</v>
      </c>
      <c r="M13" s="92">
        <f t="shared" ca="1" si="3"/>
        <v>3240471.34</v>
      </c>
      <c r="N13" s="92">
        <f t="shared" ca="1" si="3"/>
        <v>3240471.34</v>
      </c>
      <c r="O13" s="92">
        <f t="shared" ca="1" si="0"/>
        <v>108.18736862488481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113800</v>
      </c>
      <c r="M14" s="497">
        <f ca="1">M15+M16</f>
        <v>113800</v>
      </c>
      <c r="N14" s="497">
        <f ca="1">N15+N16</f>
        <v>113800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113800</v>
      </c>
      <c r="M16" s="51">
        <f t="shared" ca="1" si="4"/>
        <v>113800</v>
      </c>
      <c r="N16" s="51">
        <f t="shared" ca="1" si="4"/>
        <v>113800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2819170</v>
      </c>
      <c r="M18" s="21">
        <f ca="1">M19+M20</f>
        <v>3085501.34</v>
      </c>
      <c r="N18" s="21">
        <f ca="1">N19+N20</f>
        <v>3085501.34</v>
      </c>
      <c r="O18" s="21">
        <f t="shared" ref="O18:O26" ca="1" si="5">IF(L18&gt;0,N18*100/L18,0)</f>
        <v>109.44715430428104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2819170</v>
      </c>
      <c r="M20" s="29">
        <f t="shared" ca="1" si="7"/>
        <v>3085501.34</v>
      </c>
      <c r="N20" s="29">
        <f t="shared" ca="1" si="7"/>
        <v>3085501.34</v>
      </c>
      <c r="O20" s="29">
        <f t="shared" ca="1" si="5"/>
        <v>109.44715430428104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2705370</v>
      </c>
      <c r="M21" s="497">
        <f ca="1">M22+M23</f>
        <v>2971701.34</v>
      </c>
      <c r="N21" s="497">
        <f ca="1">N22+N23</f>
        <v>2971701.34</v>
      </c>
      <c r="O21" s="497">
        <f t="shared" ca="1" si="5"/>
        <v>109.84454399952686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2705370</v>
      </c>
      <c r="M23" s="92">
        <f t="shared" ca="1" si="8"/>
        <v>2971701.34</v>
      </c>
      <c r="N23" s="92">
        <f t="shared" ca="1" si="8"/>
        <v>2971701.34</v>
      </c>
      <c r="O23" s="92">
        <f t="shared" ca="1" si="5"/>
        <v>109.84454399952686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113800</v>
      </c>
      <c r="M24" s="497">
        <f ca="1">M25+M26</f>
        <v>113800</v>
      </c>
      <c r="N24" s="497">
        <f ca="1">N25+N26</f>
        <v>113800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113800</v>
      </c>
      <c r="M26" s="51">
        <f t="shared" ca="1" si="9"/>
        <v>113800</v>
      </c>
      <c r="N26" s="51">
        <f t="shared" ca="1" si="9"/>
        <v>113800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289870</v>
      </c>
      <c r="M28" s="21">
        <f ca="1">M29+M30</f>
        <v>268770</v>
      </c>
      <c r="N28" s="21">
        <f>N29+N30</f>
        <v>268770</v>
      </c>
      <c r="O28" s="21">
        <f t="shared" ref="O28:O37" ca="1" si="10">IF(L28&gt;0,N28*100/L28,0)</f>
        <v>92.720874874943945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289870</v>
      </c>
      <c r="M30" s="29">
        <f t="shared" ca="1" si="12"/>
        <v>268770</v>
      </c>
      <c r="N30" s="29">
        <f t="shared" si="12"/>
        <v>268770</v>
      </c>
      <c r="O30" s="29">
        <f t="shared" ca="1" si="10"/>
        <v>92.720874874943945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289870</v>
      </c>
      <c r="M31" s="497">
        <f ca="1">M32+M33</f>
        <v>268770</v>
      </c>
      <c r="N31" s="497">
        <f>N32+N33</f>
        <v>268770</v>
      </c>
      <c r="O31" s="497">
        <f t="shared" ca="1" si="10"/>
        <v>92.720874874943945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289870</v>
      </c>
      <c r="M33" s="92">
        <f t="shared" ca="1" si="13"/>
        <v>268770</v>
      </c>
      <c r="N33" s="92">
        <f t="shared" si="13"/>
        <v>268770</v>
      </c>
      <c r="O33" s="92">
        <f t="shared" ca="1" si="10"/>
        <v>92.720874874943945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2819170</v>
      </c>
      <c r="M37" s="58">
        <f ca="1">M41+M53+M66+M88+M119+M132+M149+M165+M181+M261+M277+M298+M315+M328+M345+M389+M402</f>
        <v>3085501.34</v>
      </c>
      <c r="N37" s="58">
        <f ca="1">N41+N53+N66+N88+N119+N132+N149+N165+N181+N261+N277+N298+N315+N328+N345+N389+N402</f>
        <v>3085501.34</v>
      </c>
      <c r="O37" s="58">
        <f t="shared" ca="1" si="10"/>
        <v>109.44715430428104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457800</v>
      </c>
      <c r="M41" s="84">
        <f ca="1">M42+M43</f>
        <v>594329.34</v>
      </c>
      <c r="N41" s="84">
        <f ca="1">N42+N43</f>
        <v>594329.34</v>
      </c>
      <c r="O41" s="84">
        <f t="shared" ref="O41:O49" ca="1" si="15">IF(L41&gt;0,N41*100/L41,0)</f>
        <v>129.82292267365662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457800</v>
      </c>
      <c r="M43" s="91">
        <f t="shared" ca="1" si="17"/>
        <v>594329.34</v>
      </c>
      <c r="N43" s="91">
        <f t="shared" ca="1" si="17"/>
        <v>594329.34</v>
      </c>
      <c r="O43" s="91">
        <f t="shared" ca="1" si="15"/>
        <v>129.82292267365662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457800</v>
      </c>
      <c r="M44" s="497">
        <f ca="1">M45+M46</f>
        <v>594329.34</v>
      </c>
      <c r="N44" s="497">
        <f ca="1">N45+N46</f>
        <v>594329.34</v>
      </c>
      <c r="O44" s="497">
        <f t="shared" ca="1" si="15"/>
        <v>129.82292267365662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IFERROR(__xludf.DUMMYFUNCTION("IMPORTRANGE(""https://docs.google.com/spreadsheets/d/1MeEWN-I1oV_STSDYn1IFDPWt_1FKiwhDph83XaGc0o0/edit?usp=sharing"",""งบพรบ!M61"")"),457800)</f>
        <v>457800</v>
      </c>
      <c r="M46" s="92">
        <f ca="1">IFERROR(__xludf.DUMMYFUNCTION("IMPORTRANGE(""https://docs.google.com/spreadsheets/d/1MeEWN-I1oV_STSDYn1IFDPWt_1FKiwhDph83XaGc0o0/edit?usp=sharing"",""งบพรบ!R61"")"),594329.34)</f>
        <v>594329.34</v>
      </c>
      <c r="N46" s="92">
        <f ca="1">IFERROR(__xludf.DUMMYFUNCTION("IMPORTRANGE(""https://docs.google.com/spreadsheets/d/1MeEWN-I1oV_STSDYn1IFDPWt_1FKiwhDph83XaGc0o0/edit?usp=sharing"",""งบพรบ!T61"")"),594329.34)</f>
        <v>594329.34</v>
      </c>
      <c r="O46" s="92">
        <f t="shared" ca="1" si="15"/>
        <v>129.82292267365662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IFERROR(__xludf.DUMMYFUNCTION("IMPORTRANGE(""https://docs.google.com/spreadsheets/d/1MeEWN-I1oV_STSDYn1IFDPWt_1FKiwhDph83XaGc0o0/edit?usp=sharing"",""งบพรบ!P61"")"),0)</f>
        <v>0</v>
      </c>
      <c r="M49" s="51">
        <f ca="1">IFERROR(__xludf.DUMMYFUNCTION("IMPORTRANGE(""https://docs.google.com/spreadsheets/d/1MeEWN-I1oV_STSDYn1IFDPWt_1FKiwhDph83XaGc0o0/edit?usp=sharing"",""งบพรบ!S61"")"),0)</f>
        <v>0</v>
      </c>
      <c r="N49" s="51">
        <f ca="1">IFERROR(__xludf.DUMMYFUNCTION("IMPORTRANGE(""https://docs.google.com/spreadsheets/d/1MeEWN-I1oV_STSDYn1IFDPWt_1FKiwhDph83XaGc0o0/edit?usp=sharing"",""งบพรบ!U61"")"),0)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663500</v>
      </c>
      <c r="M53" s="115">
        <f ca="1">M54+M55</f>
        <v>700372</v>
      </c>
      <c r="N53" s="115">
        <f ca="1">N54+N55</f>
        <v>700372</v>
      </c>
      <c r="O53" s="115">
        <f t="shared" ref="O53:O61" ca="1" si="18">IF(L53&gt;0,N53*100/L53,0)</f>
        <v>105.55719668425019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663500</v>
      </c>
      <c r="M55" s="122">
        <f t="shared" ca="1" si="20"/>
        <v>700372</v>
      </c>
      <c r="N55" s="122">
        <f t="shared" ca="1" si="20"/>
        <v>700372</v>
      </c>
      <c r="O55" s="122">
        <f t="shared" ca="1" si="18"/>
        <v>105.55719668425019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663500</v>
      </c>
      <c r="M56" s="497">
        <f ca="1">M57+M58</f>
        <v>700372</v>
      </c>
      <c r="N56" s="497">
        <f ca="1">N57+N58</f>
        <v>700372</v>
      </c>
      <c r="O56" s="497">
        <f t="shared" ca="1" si="18"/>
        <v>105.55719668425019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IFERROR(__xludf.DUMMYFUNCTION("IMPORTRANGE(""https://docs.google.com/spreadsheets/d/1MeEWN-I1oV_STSDYn1IFDPWt_1FKiwhDph83XaGc0o0/edit?usp=sharing"",""งบพรบ!W61"")"),663500)</f>
        <v>663500</v>
      </c>
      <c r="M58" s="92">
        <f ca="1">IFERROR(__xludf.DUMMYFUNCTION("IMPORTRANGE(""https://docs.google.com/spreadsheets/d/1MeEWN-I1oV_STSDYn1IFDPWt_1FKiwhDph83XaGc0o0/edit?usp=sharing"",""งบพรบ!AB61"")"),700372)</f>
        <v>700372</v>
      </c>
      <c r="N58" s="92">
        <f ca="1">IFERROR(__xludf.DUMMYFUNCTION("IMPORTRANGE(""https://docs.google.com/spreadsheets/d/1MeEWN-I1oV_STSDYn1IFDPWt_1FKiwhDph83XaGc0o0/edit?usp=sharing"",""งบพรบ!AD61"")"),700372)</f>
        <v>700372</v>
      </c>
      <c r="O58" s="92">
        <f t="shared" ca="1" si="18"/>
        <v>105.55719668425019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IFERROR(__xludf.DUMMYFUNCTION("IMPORTRANGE(""https://docs.google.com/spreadsheets/d/1MeEWN-I1oV_STSDYn1IFDPWt_1FKiwhDph83XaGc0o0/edit?usp=sharing"",""งบพรบ!Z61"")"),0)</f>
        <v>0</v>
      </c>
      <c r="M61" s="51">
        <f ca="1">IFERROR(__xludf.DUMMYFUNCTION("IMPORTRANGE(""https://docs.google.com/spreadsheets/d/1MeEWN-I1oV_STSDYn1IFDPWt_1FKiwhDph83XaGc0o0/edit?usp=sharing"",""งบพรบ!AC61"")"),0)</f>
        <v>0</v>
      </c>
      <c r="N61" s="51">
        <f ca="1">IFERROR(__xludf.DUMMYFUNCTION("IMPORTRANGE(""https://docs.google.com/spreadsheets/d/1MeEWN-I1oV_STSDYn1IFDPWt_1FKiwhDph83XaGc0o0/edit?usp=sharing"",""งบพรบ!AE61"")"),0)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IFERROR(__xludf.DUMMYFUNCTION("IMPORTRANGE(""https://docs.google.com/spreadsheets/d/1MeEWN-I1oV_STSDYn1IFDPWt_1FKiwhDph83XaGc0o0/edit?usp=sharing"",""งบพรบ!AG61"")"),0)</f>
        <v>0</v>
      </c>
      <c r="M71" s="92">
        <f ca="1">IFERROR(__xludf.DUMMYFUNCTION("IMPORTRANGE(""https://docs.google.com/spreadsheets/d/1MeEWN-I1oV_STSDYn1IFDPWt_1FKiwhDph83XaGc0o0/edit?usp=sharing"",""งบพรบ!AL61"")"),0)</f>
        <v>0</v>
      </c>
      <c r="N71" s="92">
        <f ca="1">IFERROR(__xludf.DUMMYFUNCTION("IMPORTRANGE(""https://docs.google.com/spreadsheets/d/1MeEWN-I1oV_STSDYn1IFDPWt_1FKiwhDph83XaGc0o0/edit?usp=sharing"",""งบพรบ!AN61"")"),0)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IFERROR(__xludf.DUMMYFUNCTION("IMPORTRANGE(""https://docs.google.com/spreadsheets/d/1MeEWN-I1oV_STSDYn1IFDPWt_1FKiwhDph83XaGc0o0/edit?usp=sharing"",""งบพรบ!AJ61"")"),0)</f>
        <v>0</v>
      </c>
      <c r="M74" s="92">
        <f ca="1">IFERROR(__xludf.DUMMYFUNCTION("IMPORTRANGE(""https://docs.google.com/spreadsheets/d/1MeEWN-I1oV_STSDYn1IFDPWt_1FKiwhDph83XaGc0o0/edit?usp=sharing"",""งบพรบ!AM61"")"),0)</f>
        <v>0</v>
      </c>
      <c r="N74" s="92">
        <f ca="1">IFERROR(__xludf.DUMMYFUNCTION("IMPORTRANGE(""https://docs.google.com/spreadsheets/d/1MeEWN-I1oV_STSDYn1IFDPWt_1FKiwhDph83XaGc0o0/edit?usp=sharing"",""งบพรบ!AO61"")"),0)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IFERROR(__xludf.DUMMYFUNCTION("IMPORTRANGE(""https://docs.google.com/spreadsheets/d/1QqKyyYR6Q21VydFLVH3TRQUabQu_ym0Zz7PgGX0-kHA/edit?usp=sharing"",""แผน!H61"")"),0)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IFERROR(__xludf.DUMMYFUNCTION("IMPORTRANGE(""https://docs.google.com/spreadsheets/d/1QqKyyYR6Q21VydFLVH3TRQUabQu_ym0Zz7PgGX0-kHA/edit?usp=sharing"",""แผน!I61"")"),0)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IFERROR(__xludf.DUMMYFUNCTION("IMPORTRANGE(""https://docs.google.com/spreadsheets/d/1QqKyyYR6Q21VydFLVH3TRQUabQu_ym0Zz7PgGX0-kHA/edit?usp=sharing"",""แผน!F61"")"),0)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IFERROR(__xludf.DUMMYFUNCTION("IMPORTRANGE(""https://docs.google.com/spreadsheets/d/1QqKyyYR6Q21VydFLVH3TRQUabQu_ym0Zz7PgGX0-kHA/edit?usp=sharing"",""แผน!G61"")"),0)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IFERROR(__xludf.DUMMYFUNCTION("IMPORTRANGE(""https://docs.google.com/spreadsheets/d/1QqKyyYR6Q21VydFLVH3TRQUabQu_ym0Zz7PgGX0-kHA/edit?usp=sharing"",""แผน!D61"")"),0)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IFERROR(__xludf.DUMMYFUNCTION("IMPORTRANGE(""https://docs.google.com/spreadsheets/d/1QqKyyYR6Q21VydFLVH3TRQUabQu_ym0Zz7PgGX0-kHA/edit?usp=sharing"",""แผน!E61"")"),0)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IFERROR(__xludf.DUMMYFUNCTION("IMPORTRANGE(""https://docs.google.com/spreadsheets/d/1QqKyyYR6Q21VydFLVH3TRQUabQu_ym0Zz7PgGX0-kHA/edit?usp=sharing"",""แผน!J61"")"),0)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86040</v>
      </c>
      <c r="M88" s="154">
        <f ca="1">M89+M90</f>
        <v>86040</v>
      </c>
      <c r="N88" s="154">
        <f ca="1">N89+N90</f>
        <v>86040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86040</v>
      </c>
      <c r="M90" s="92">
        <f t="shared" ca="1" si="27"/>
        <v>86040</v>
      </c>
      <c r="N90" s="92">
        <f t="shared" ca="1" si="27"/>
        <v>86040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86040</v>
      </c>
      <c r="M91" s="497">
        <f ca="1">M92+M93</f>
        <v>86040</v>
      </c>
      <c r="N91" s="497">
        <f ca="1">N92+N93</f>
        <v>86040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IFERROR(__xludf.DUMMYFUNCTION("IMPORTRANGE(""https://docs.google.com/spreadsheets/d/1MeEWN-I1oV_STSDYn1IFDPWt_1FKiwhDph83XaGc0o0/edit?usp=sharing"",""งบพรบ!AQ61"")"),86040)</f>
        <v>86040</v>
      </c>
      <c r="M93" s="92">
        <f ca="1">IFERROR(__xludf.DUMMYFUNCTION("IMPORTRANGE(""https://docs.google.com/spreadsheets/d/1MeEWN-I1oV_STSDYn1IFDPWt_1FKiwhDph83XaGc0o0/edit?usp=sharing"",""งบพรบ!AV61"")"),86040)</f>
        <v>86040</v>
      </c>
      <c r="N93" s="92">
        <f ca="1">IFERROR(__xludf.DUMMYFUNCTION("IMPORTRANGE(""https://docs.google.com/spreadsheets/d/1MeEWN-I1oV_STSDYn1IFDPWt_1FKiwhDph83XaGc0o0/edit?usp=sharing"",""งบพรบ!AX61"")"),86040)</f>
        <v>86040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IFERROR(__xludf.DUMMYFUNCTION("IMPORTRANGE(""https://docs.google.com/spreadsheets/d/1MeEWN-I1oV_STSDYn1IFDPWt_1FKiwhDph83XaGc0o0/edit?usp=sharing"",""งบพรบ!AT61"")"),0)</f>
        <v>0</v>
      </c>
      <c r="M96" s="92">
        <f ca="1">IFERROR(__xludf.DUMMYFUNCTION("IMPORTRANGE(""https://docs.google.com/spreadsheets/d/1MeEWN-I1oV_STSDYn1IFDPWt_1FKiwhDph83XaGc0o0/edit?usp=sharing"",""งบพรบ!AW61"")"),0)</f>
        <v>0</v>
      </c>
      <c r="N96" s="92">
        <f ca="1">IFERROR(__xludf.DUMMYFUNCTION("IMPORTRANGE(""https://docs.google.com/spreadsheets/d/1MeEWN-I1oV_STSDYn1IFDPWt_1FKiwhDph83XaGc0o0/edit?usp=sharing"",""งบพรบ!AY61"")"),0)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IFERROR(__xludf.DUMMYFUNCTION("IMPORTRANGE(""https://docs.google.com/spreadsheets/d/1QqKyyYR6Q21VydFLVH3TRQUabQu_ym0Zz7PgGX0-kHA/edit?usp=sharing"",""แผน!K61"")"),30)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IFERROR(__xludf.DUMMYFUNCTION("IMPORTRANGE(""https://docs.google.com/spreadsheets/d/1QqKyyYR6Q21VydFLVH3TRQUabQu_ym0Zz7PgGX0-kHA/edit?usp=sharing"",""แผน!L61"")"),10)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IFERROR(__xludf.DUMMYFUNCTION("IMPORTRANGE(""https://docs.google.com/spreadsheets/d/1QqKyyYR6Q21VydFLVH3TRQUabQu_ym0Zz7PgGX0-kHA/edit?usp=sharing"",""แผน!M61"")"),2)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IFERROR(__xludf.DUMMYFUNCTION("IMPORTRANGE(""https://docs.google.com/spreadsheets/d/1QqKyyYR6Q21VydFLVH3TRQUabQu_ym0Zz7PgGX0-kHA/edit?usp=sharing"",""แผน!N61"")"),30)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IFERROR(__xludf.DUMMYFUNCTION("IMPORTRANGE(""https://docs.google.com/spreadsheets/d/1QqKyyYR6Q21VydFLVH3TRQUabQu_ym0Zz7PgGX0-kHA/edit?usp=sharing"",""แผน!O61"")"),10)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IFERROR(__xludf.DUMMYFUNCTION("IMPORTRANGE(""https://docs.google.com/spreadsheets/d/1QqKyyYR6Q21VydFLVH3TRQUabQu_ym0Zz7PgGX0-kHA/edit?usp=sharing"",""แผน!O61"")"),10)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IFERROR(__xludf.DUMMYFUNCTION("IMPORTRANGE(""https://docs.google.com/spreadsheets/d/1QqKyyYR6Q21VydFLVH3TRQUabQu_ym0Zz7PgGX0-kHA/edit?usp=sharing"",""แผน!P61"")"),1)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IFERROR(__xludf.DUMMYFUNCTION("IMPORTRANGE(""https://docs.google.com/spreadsheets/d/1QqKyyYR6Q21VydFLVH3TRQUabQu_ym0Zz7PgGX0-kHA/edit?usp=sharing"",""แผน!P61"")"),1)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IFERROR(__xludf.DUMMYFUNCTION("IMPORTRANGE(""https://docs.google.com/spreadsheets/d/1QqKyyYR6Q21VydFLVH3TRQUabQu_ym0Zz7PgGX0-kHA/edit?usp=sharing"",""แผน!Q61"")"),1)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IFERROR(__xludf.DUMMYFUNCTION("IMPORTRANGE(""https://docs.google.com/spreadsheets/d/1QqKyyYR6Q21VydFLVH3TRQUabQu_ym0Zz7PgGX0-kHA/edit?usp=sharing"",""แผน!Q61"")"),1)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IFERROR(__xludf.DUMMYFUNCTION("IMPORTRANGE(""https://docs.google.com/spreadsheets/d/1QqKyyYR6Q21VydFLVH3TRQUabQu_ym0Zz7PgGX0-kHA/edit?usp=sharing"",""แผน!R61"")"),10)</f>
        <v>10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IFERROR(__xludf.DUMMYFUNCTION("IMPORTRANGE(""https://docs.google.com/spreadsheets/d/1QqKyyYR6Q21VydFLVH3TRQUabQu_ym0Zz7PgGX0-kHA/edit?usp=sharing"",""แผน!R61"")"),10)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IFERROR(__xludf.DUMMYFUNCTION("IMPORTRANGE(""https://docs.google.com/spreadsheets/d/1QqKyyYR6Q21VydFLVH3TRQUabQu_ym0Zz7PgGX0-kHA/edit?usp=sharing"",""แผน!S61"")"),1)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IFERROR(__xludf.DUMMYFUNCTION("IMPORTRANGE(""https://docs.google.com/spreadsheets/d/1QqKyyYR6Q21VydFLVH3TRQUabQu_ym0Zz7PgGX0-kHA/edit?usp=sharing"",""แผน!T61"")"),1)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IFERROR(__xludf.DUMMYFUNCTION("IMPORTRANGE(""https://docs.google.com/spreadsheets/d/1MeEWN-I1oV_STSDYn1IFDPWt_1FKiwhDph83XaGc0o0/edit?usp=sharing"",""งบพรบ!BA61"")"),0)</f>
        <v>0</v>
      </c>
      <c r="M124" s="92">
        <f ca="1">IFERROR(__xludf.DUMMYFUNCTION("IMPORTRANGE(""https://docs.google.com/spreadsheets/d/1MeEWN-I1oV_STSDYn1IFDPWt_1FKiwhDph83XaGc0o0/edit?usp=sharing"",""งบพรบ!BF61"")"),0)</f>
        <v>0</v>
      </c>
      <c r="N124" s="92">
        <f ca="1">IFERROR(__xludf.DUMMYFUNCTION("IMPORTRANGE(""https://docs.google.com/spreadsheets/d/1MeEWN-I1oV_STSDYn1IFDPWt_1FKiwhDph83XaGc0o0/edit?usp=sharing"",""งบพรบ!BH61"")"),0)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IFERROR(__xludf.DUMMYFUNCTION("IMPORTRANGE(""https://docs.google.com/spreadsheets/d/1MeEWN-I1oV_STSDYn1IFDPWt_1FKiwhDph83XaGc0o0/edit?usp=sharing"",""งบพรบ!BD61"")"),0)</f>
        <v>0</v>
      </c>
      <c r="M127" s="92">
        <f ca="1">IFERROR(__xludf.DUMMYFUNCTION("IMPORTRANGE(""https://docs.google.com/spreadsheets/d/1MeEWN-I1oV_STSDYn1IFDPWt_1FKiwhDph83XaGc0o0/edit?usp=sharing"",""งบพรบ!BG61"")"),0)</f>
        <v>0</v>
      </c>
      <c r="N127" s="92">
        <f ca="1">IFERROR(__xludf.DUMMYFUNCTION("IMPORTRANGE(""https://docs.google.com/spreadsheets/d/1MeEWN-I1oV_STSDYn1IFDPWt_1FKiwhDph83XaGc0o0/edit?usp=sharing"",""งบพรบ!BI61"")"),0)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IFERROR(__xludf.DUMMYFUNCTION("IMPORTRANGE(""https://docs.google.com/spreadsheets/d/1MeEWN-I1oV_STSDYn1IFDPWt_1FKiwhDph83XaGc0o0/edit?usp=sharing"",""งบพรบ!BK61"")"),0)</f>
        <v>0</v>
      </c>
      <c r="M137" s="92">
        <f ca="1">IFERROR(__xludf.DUMMYFUNCTION("IMPORTRANGE(""https://docs.google.com/spreadsheets/d/1MeEWN-I1oV_STSDYn1IFDPWt_1FKiwhDph83XaGc0o0/edit?usp=sharing"",""งบพรบ!BP61"")"),0)</f>
        <v>0</v>
      </c>
      <c r="N137" s="92">
        <f ca="1">IFERROR(__xludf.DUMMYFUNCTION("IMPORTRANGE(""https://docs.google.com/spreadsheets/d/1MeEWN-I1oV_STSDYn1IFDPWt_1FKiwhDph83XaGc0o0/edit?usp=sharing"",""งบพรบ!BR61"")"),0)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IFERROR(__xludf.DUMMYFUNCTION("IMPORTRANGE(""https://docs.google.com/spreadsheets/d/1MeEWN-I1oV_STSDYn1IFDPWt_1FKiwhDph83XaGc0o0/edit?usp=sharing"",""งบพรบ!BN61"")"),0)</f>
        <v>0</v>
      </c>
      <c r="M140" s="92">
        <f ca="1">IFERROR(__xludf.DUMMYFUNCTION("IMPORTRANGE(""https://docs.google.com/spreadsheets/d/1MeEWN-I1oV_STSDYn1IFDPWt_1FKiwhDph83XaGc0o0/edit?usp=sharing"",""งบพรบ!BQ61"")"),0)</f>
        <v>0</v>
      </c>
      <c r="N140" s="92">
        <f ca="1">IFERROR(__xludf.DUMMYFUNCTION("IMPORTRANGE(""https://docs.google.com/spreadsheets/d/1MeEWN-I1oV_STSDYn1IFDPWt_1FKiwhDph83XaGc0o0/edit?usp=sharing"",""งบพรบ!BS61"")"),0)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IFERROR(__xludf.DUMMYFUNCTION("IMPORTRANGE(""https://docs.google.com/spreadsheets/d/1QqKyyYR6Q21VydFLVH3TRQUabQu_ym0Zz7PgGX0-kHA/edit?usp=sharing"",""แผน!U61"")"),0)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IFERROR(__xludf.DUMMYFUNCTION("IMPORTRANGE(""https://docs.google.com/spreadsheets/d/1QqKyyYR6Q21VydFLVH3TRQUabQu_ym0Zz7PgGX0-kHA/edit?usp=sharing"",""แผน!V61"")"),0)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IFERROR(__xludf.DUMMYFUNCTION("IMPORTRANGE(""https://docs.google.com/spreadsheets/d/1QqKyyYR6Q21VydFLVH3TRQUabQu_ym0Zz7PgGX0-kHA/edit?usp=sharing"",""แผน!W61"")"),0)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IFERROR(__xludf.DUMMYFUNCTION("IMPORTRANGE(""https://docs.google.com/spreadsheets/d/1MeEWN-I1oV_STSDYn1IFDPWt_1FKiwhDph83XaGc0o0/edit?usp=sharing"",""งบพรบ!BU61"")"),0)</f>
        <v>0</v>
      </c>
      <c r="M154" s="92">
        <f ca="1">IFERROR(__xludf.DUMMYFUNCTION("IMPORTRANGE(""https://docs.google.com/spreadsheets/d/1MeEWN-I1oV_STSDYn1IFDPWt_1FKiwhDph83XaGc0o0/edit?usp=sharing"",""งบพรบ!BZ61"")"),0)</f>
        <v>0</v>
      </c>
      <c r="N154" s="92">
        <f ca="1">IFERROR(__xludf.DUMMYFUNCTION("IMPORTRANGE(""https://docs.google.com/spreadsheets/d/1MeEWN-I1oV_STSDYn1IFDPWt_1FKiwhDph83XaGc0o0/edit?usp=sharing"",""งบพรบ!CB61"")"),0)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IFERROR(__xludf.DUMMYFUNCTION("IMPORTRANGE(""https://docs.google.com/spreadsheets/d/1MeEWN-I1oV_STSDYn1IFDPWt_1FKiwhDph83XaGc0o0/edit?usp=sharing"",""งบพรบ!BX61"")"),0)</f>
        <v>0</v>
      </c>
      <c r="M157" s="92">
        <f ca="1">IFERROR(__xludf.DUMMYFUNCTION("IMPORTRANGE(""https://docs.google.com/spreadsheets/d/1MeEWN-I1oV_STSDYn1IFDPWt_1FKiwhDph83XaGc0o0/edit?usp=sharing"",""งบพรบ!CA61"")"),0)</f>
        <v>0</v>
      </c>
      <c r="N157" s="92">
        <f ca="1">IFERROR(__xludf.DUMMYFUNCTION("IMPORTRANGE(""https://docs.google.com/spreadsheets/d/1MeEWN-I1oV_STSDYn1IFDPWt_1FKiwhDph83XaGc0o0/edit?usp=sharing"",""งบพรบ!CC61"")"),0)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IFERROR(__xludf.DUMMYFUNCTION("IMPORTRANGE(""https://docs.google.com/spreadsheets/d/1QqKyyYR6Q21VydFLVH3TRQUabQu_ym0Zz7PgGX0-kHA/edit?usp=sharing"",""แผน!X61"")"),0)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43490</v>
      </c>
      <c r="N165" s="154">
        <f ca="1">N166+N167</f>
        <v>43490</v>
      </c>
      <c r="O165" s="154">
        <f t="shared" ref="O165:O173" ca="1" si="38">IF(L165&gt;0,N165*100/L165,0)</f>
        <v>206.60332541567695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43490</v>
      </c>
      <c r="N167" s="92">
        <f t="shared" ca="1" si="40"/>
        <v>43490</v>
      </c>
      <c r="O167" s="92">
        <f t="shared" ca="1" si="38"/>
        <v>206.60332541567695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43490</v>
      </c>
      <c r="N168" s="497">
        <f ca="1">N169+N170</f>
        <v>43490</v>
      </c>
      <c r="O168" s="497">
        <f t="shared" ca="1" si="38"/>
        <v>206.60332541567695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IFERROR(__xludf.DUMMYFUNCTION("IMPORTRANGE(""https://docs.google.com/spreadsheets/d/1MeEWN-I1oV_STSDYn1IFDPWt_1FKiwhDph83XaGc0o0/edit?usp=sharing"",""งบพรบ!CE61"")"),21050)</f>
        <v>21050</v>
      </c>
      <c r="M170" s="92">
        <f ca="1">IFERROR(__xludf.DUMMYFUNCTION("IMPORTRANGE(""https://docs.google.com/spreadsheets/d/1MeEWN-I1oV_STSDYn1IFDPWt_1FKiwhDph83XaGc0o0/edit?usp=sharing"",""งบพรบ!CJ61"")"),43490)</f>
        <v>43490</v>
      </c>
      <c r="N170" s="92">
        <f ca="1">IFERROR(__xludf.DUMMYFUNCTION("IMPORTRANGE(""https://docs.google.com/spreadsheets/d/1MeEWN-I1oV_STSDYn1IFDPWt_1FKiwhDph83XaGc0o0/edit?usp=sharing"",""งบพรบ!CL61"")"),43490)</f>
        <v>43490</v>
      </c>
      <c r="O170" s="92">
        <f t="shared" ca="1" si="38"/>
        <v>206.60332541567695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IFERROR(__xludf.DUMMYFUNCTION("IMPORTRANGE(""https://docs.google.com/spreadsheets/d/1MeEWN-I1oV_STSDYn1IFDPWt_1FKiwhDph83XaGc0o0/edit?usp=sharing"",""งบพรบ!CH61"")"),0)</f>
        <v>0</v>
      </c>
      <c r="M173" s="92">
        <f ca="1">IFERROR(__xludf.DUMMYFUNCTION("IMPORTRANGE(""https://docs.google.com/spreadsheets/d/1MeEWN-I1oV_STSDYn1IFDPWt_1FKiwhDph83XaGc0o0/edit?usp=sharing"",""งบพรบ!CK61"")"),0)</f>
        <v>0</v>
      </c>
      <c r="N173" s="92">
        <f ca="1">IFERROR(__xludf.DUMMYFUNCTION("IMPORTRANGE(""https://docs.google.com/spreadsheets/d/1MeEWN-I1oV_STSDYn1IFDPWt_1FKiwhDph83XaGc0o0/edit?usp=sharing"",""งบพรบ!CM61"")"),0)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IFERROR(__xludf.DUMMYFUNCTION("IMPORTRANGE(""https://docs.google.com/spreadsheets/d/1QqKyyYR6Q21VydFLVH3TRQUabQu_ym0Zz7PgGX0-kHA/edit?usp=sharing"",""แผน!Y61"")"),10)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30</v>
      </c>
      <c r="J180" s="252">
        <f>J225+J226</f>
        <v>30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919700</v>
      </c>
      <c r="M181" s="154">
        <f ca="1">M182+M183</f>
        <v>946970</v>
      </c>
      <c r="N181" s="154">
        <f ca="1">N182+N183</f>
        <v>946970</v>
      </c>
      <c r="O181" s="154">
        <f t="shared" ref="O181:O189" ca="1" si="41">IF(L181&gt;0,N181*100/L181,0)</f>
        <v>102.96509731434163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919700</v>
      </c>
      <c r="M183" s="92">
        <f t="shared" ca="1" si="43"/>
        <v>946970</v>
      </c>
      <c r="N183" s="92">
        <f t="shared" ca="1" si="43"/>
        <v>946970</v>
      </c>
      <c r="O183" s="92">
        <f t="shared" ca="1" si="41"/>
        <v>102.96509731434163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919700</v>
      </c>
      <c r="M184" s="497">
        <f ca="1">M185+M186</f>
        <v>946970</v>
      </c>
      <c r="N184" s="497">
        <f ca="1">N185+N186</f>
        <v>946970</v>
      </c>
      <c r="O184" s="497">
        <f t="shared" ca="1" si="41"/>
        <v>102.96509731434163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IFERROR(__xludf.DUMMYFUNCTION("IMPORTRANGE(""https://docs.google.com/spreadsheets/d/1MeEWN-I1oV_STSDYn1IFDPWt_1FKiwhDph83XaGc0o0/edit?usp=sharing"",""งบพรบ!CO61"")"),919700)</f>
        <v>919700</v>
      </c>
      <c r="M186" s="92">
        <f ca="1">IFERROR(__xludf.DUMMYFUNCTION("IMPORTRANGE(""https://docs.google.com/spreadsheets/d/1MeEWN-I1oV_STSDYn1IFDPWt_1FKiwhDph83XaGc0o0/edit?usp=sharing"",""งบพรบ!CT61"")"),946970)</f>
        <v>946970</v>
      </c>
      <c r="N186" s="92">
        <f ca="1">IFERROR(__xludf.DUMMYFUNCTION("IMPORTRANGE(""https://docs.google.com/spreadsheets/d/1MeEWN-I1oV_STSDYn1IFDPWt_1FKiwhDph83XaGc0o0/edit?usp=sharing"",""งบพรบ!CV61"")"),946970)</f>
        <v>946970</v>
      </c>
      <c r="O186" s="92">
        <f t="shared" ca="1" si="41"/>
        <v>102.96509731434163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IFERROR(__xludf.DUMMYFUNCTION("IMPORTRANGE(""https://docs.google.com/spreadsheets/d/1MeEWN-I1oV_STSDYn1IFDPWt_1FKiwhDph83XaGc0o0/edit?usp=sharing"",""งบพรบ!CR61"")"),0)</f>
        <v>0</v>
      </c>
      <c r="M189" s="92">
        <f ca="1">IFERROR(__xludf.DUMMYFUNCTION("IMPORTRANGE(""https://docs.google.com/spreadsheets/d/1MeEWN-I1oV_STSDYn1IFDPWt_1FKiwhDph83XaGc0o0/edit?usp=sharing"",""งบพรบ!CU61"")"),0)</f>
        <v>0</v>
      </c>
      <c r="N189" s="92">
        <f ca="1">IFERROR(__xludf.DUMMYFUNCTION("IMPORTRANGE(""https://docs.google.com/spreadsheets/d/1MeEWN-I1oV_STSDYn1IFDPWt_1FKiwhDph83XaGc0o0/edit?usp=sharing"",""งบพรบ!CW61"")"),0)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IFERROR(__xludf.DUMMYFUNCTION("IMPORTRANGE(""https://docs.google.com/spreadsheets/d/1QqKyyYR6Q21VydFLVH3TRQUabQu_ym0Zz7PgGX0-kHA/edit?usp=sharing"",""แผน!Z61"")"),6000)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IFERROR(__xludf.DUMMYFUNCTION("IMPORTRANGE(""https://docs.google.com/spreadsheets/d/1QqKyyYR6Q21VydFLVH3TRQUabQu_ym0Zz7PgGX0-kHA/edit?usp=sharing"",""แผน!AC61"")"),4)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103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103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3">
        <v>9000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IFERROR(__xludf.DUMMYFUNCTION("IMPORTRANGE(""https://docs.google.com/spreadsheets/d/1QqKyyYR6Q21VydFLVH3TRQUabQu_ym0Zz7PgGX0-kHA/edit?usp=sharing"",""แผน!AI61"")"),1)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IFERROR(__xludf.DUMMYFUNCTION("IMPORTRANGE(""https://docs.google.com/spreadsheets/d/1QqKyyYR6Q21VydFLVH3TRQUabQu_ym0Zz7PgGX0-kHA/edit?usp=sharing"",""แผน!AN61"")"),0)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IFERROR(__xludf.DUMMYFUNCTION("IMPORTRANGE(""https://docs.google.com/spreadsheets/d/1QqKyyYR6Q21VydFLVH3TRQUabQu_ym0Zz7PgGX0-kHA/edit?usp=sharing"",""แผน!AN61"")"),0)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IFERROR(__xludf.DUMMYFUNCTION("IMPORTRANGE(""https://docs.google.com/spreadsheets/d/1QqKyyYR6Q21VydFLVH3TRQUabQu_ym0Zz7PgGX0-kHA/edit?usp=sharing"",""แผน!AT61"")"),20000)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IFERROR(__xludf.DUMMYFUNCTION("IMPORTRANGE(""https://docs.google.com/spreadsheets/d/1QqKyyYR6Q21VydFLVH3TRQUabQu_ym0Zz7PgGX0-kHA/edit?usp=sharing"",""แผน!AT61"")"),20000)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IFERROR(__xludf.DUMMYFUNCTION("IMPORTRANGE(""https://docs.google.com/spreadsheets/d/1QqKyyYR6Q21VydFLVH3TRQUabQu_ym0Zz7PgGX0-kHA/edit?usp=sharing"",""แผน!AS61"")"),0)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30</v>
      </c>
      <c r="J226" s="344">
        <f>J237+J248</f>
        <v>30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220900</v>
      </c>
      <c r="M227" s="355"/>
      <c r="N227" s="355">
        <f>N238+N249</f>
        <v>220900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163000</v>
      </c>
      <c r="M228" s="92"/>
      <c r="N228" s="92">
        <f>N239+N250</f>
        <v>163000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32900</v>
      </c>
      <c r="M229" s="92"/>
      <c r="N229" s="92">
        <f>N240+N251</f>
        <v>32900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15000</v>
      </c>
      <c r="M230" s="92"/>
      <c r="N230" s="92">
        <f>N241+N252</f>
        <v>15000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30</v>
      </c>
      <c r="J233" s="612">
        <f>J244+J255</f>
        <v>30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30</v>
      </c>
      <c r="J235" s="612">
        <f>J246+J257</f>
        <v>30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220900</v>
      </c>
      <c r="M238" s="154"/>
      <c r="N238" s="154">
        <f>N239+N240+N241+N242</f>
        <v>220900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IFERROR(__xludf.DUMMYFUNCTION("IMPORTRANGE(""https://docs.google.com/spreadsheets/d/1QqKyyYR6Q21VydFLVH3TRQUabQu_ym0Zz7PgGX0-kHA/edit?usp=sharing"",""แผน!AV61"")"),163000)</f>
        <v>163000</v>
      </c>
      <c r="M239" s="282"/>
      <c r="N239" s="862">
        <v>163000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IFERROR(__xludf.DUMMYFUNCTION("IMPORTRANGE(""https://docs.google.com/spreadsheets/d/1QqKyyYR6Q21VydFLVH3TRQUabQu_ym0Zz7PgGX0-kHA/edit?usp=sharing"",""แผน!AW61"")"),32900)</f>
        <v>32900</v>
      </c>
      <c r="M240" s="282"/>
      <c r="N240" s="862">
        <v>32900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IFERROR(__xludf.DUMMYFUNCTION("IMPORTRANGE(""https://docs.google.com/spreadsheets/d/1QqKyyYR6Q21VydFLVH3TRQUabQu_ym0Zz7PgGX0-kHA/edit?usp=sharing"",""แผน!AX61"")"),15000)</f>
        <v>15000</v>
      </c>
      <c r="M241" s="282"/>
      <c r="N241" s="862">
        <v>15000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IFERROR(__xludf.DUMMYFUNCTION("IMPORTRANGE(""https://docs.google.com/spreadsheets/d/1QqKyyYR6Q21VydFLVH3TRQUabQu_ym0Zz7PgGX0-kHA/edit?usp=sharing"",""แผน!AY61"")"),10000)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IFERROR(__xludf.DUMMYFUNCTION("IMPORTRANGE(""https://docs.google.com/spreadsheets/d/1QqKyyYR6Q21VydFLVH3TRQUabQu_ym0Zz7PgGX0-kHA/edit?usp=sharing"",""แผน!BE61"")"),30)</f>
        <v>30</v>
      </c>
      <c r="J244" s="214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IFERROR(__xludf.DUMMYFUNCTION("IMPORTRANGE(""https://docs.google.com/spreadsheets/d/1QqKyyYR6Q21VydFLVH3TRQUabQu_ym0Zz7PgGX0-kHA/edit?usp=sharing"",""แผน!AZ61"")"),0)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IFERROR(__xludf.DUMMYFUNCTION("IMPORTRANGE(""https://docs.google.com/spreadsheets/d/1QqKyyYR6Q21VydFLVH3TRQUabQu_ym0Zz7PgGX0-kHA/edit?usp=sharing"",""แผน!BA61"")"),0)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IFERROR(__xludf.DUMMYFUNCTION("IMPORTRANGE(""https://docs.google.com/spreadsheets/d/1QqKyyYR6Q21VydFLVH3TRQUabQu_ym0Zz7PgGX0-kHA/edit?usp=sharing"",""แผน!BB61"")"),0)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IFERROR(__xludf.DUMMYFUNCTION("IMPORTRANGE(""https://docs.google.com/spreadsheets/d/1QqKyyYR6Q21VydFLVH3TRQUabQu_ym0Zz7PgGX0-kHA/edit?usp=sharing"",""แผน!BC61"")"),0)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IFERROR(__xludf.DUMMYFUNCTION("IMPORTRANGE(""https://docs.google.com/spreadsheets/d/1QqKyyYR6Q21VydFLVH3TRQUabQu_ym0Zz7PgGX0-kHA/edit?usp=sharing"",""แผน!BF61"")"),0)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IFERROR(__xludf.DUMMYFUNCTION("IMPORTRANGE(""https://docs.google.com/spreadsheets/d/1MeEWN-I1oV_STSDYn1IFDPWt_1FKiwhDph83XaGc0o0/edit?usp=sharing"",""งบพรบ!CY61"")"),26900)</f>
        <v>26900</v>
      </c>
      <c r="M266" s="92">
        <f ca="1">IFERROR(__xludf.DUMMYFUNCTION("IMPORTRANGE(""https://docs.google.com/spreadsheets/d/1MeEWN-I1oV_STSDYn1IFDPWt_1FKiwhDph83XaGc0o0/edit?usp=sharing"",""งบพรบ!DD61"")"),26900)</f>
        <v>26900</v>
      </c>
      <c r="N266" s="92">
        <f ca="1">IFERROR(__xludf.DUMMYFUNCTION("IMPORTRANGE(""https://docs.google.com/spreadsheets/d/1MeEWN-I1oV_STSDYn1IFDPWt_1FKiwhDph83XaGc0o0/edit?usp=sharing"",""งบพรบ!DF61"")"),26900)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IFERROR(__xludf.DUMMYFUNCTION("IMPORTRANGE(""https://docs.google.com/spreadsheets/d/1MeEWN-I1oV_STSDYn1IFDPWt_1FKiwhDph83XaGc0o0/edit?usp=sharing"",""งบพรบ!DB61"")"),0)</f>
        <v>0</v>
      </c>
      <c r="M269" s="92">
        <f ca="1">IFERROR(__xludf.DUMMYFUNCTION("IMPORTRANGE(""https://docs.google.com/spreadsheets/d/1MeEWN-I1oV_STSDYn1IFDPWt_1FKiwhDph83XaGc0o0/edit?usp=sharing"",""งบพรบ!DE61"")"),0)</f>
        <v>0</v>
      </c>
      <c r="N269" s="92">
        <f ca="1">IFERROR(__xludf.DUMMYFUNCTION("IMPORTRANGE(""https://docs.google.com/spreadsheets/d/1MeEWN-I1oV_STSDYn1IFDPWt_1FKiwhDph83XaGc0o0/edit?usp=sharing"",""งบพรบ!DG61"")"),0)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IFERROR(__xludf.DUMMYFUNCTION("IMPORTRANGE(""https://docs.google.com/spreadsheets/d/1QqKyyYR6Q21VydFLVH3TRQUabQu_ym0Zz7PgGX0-kHA/edit?usp=sharing"",""แผน!EA61"")"),22)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IFERROR(__xludf.DUMMYFUNCTION("IMPORTRANGE(""https://docs.google.com/spreadsheets/d/1MeEWN-I1oV_STSDYn1IFDPWt_1FKiwhDph83XaGc0o0/edit?usp=sharing"",""งบพรบ!DI61"")"),0)</f>
        <v>0</v>
      </c>
      <c r="M282" s="92">
        <f ca="1">IFERROR(__xludf.DUMMYFUNCTION("IMPORTRANGE(""https://docs.google.com/spreadsheets/d/1MeEWN-I1oV_STSDYn1IFDPWt_1FKiwhDph83XaGc0o0/edit?usp=sharing"",""งบพรบ!DN61"")"),0)</f>
        <v>0</v>
      </c>
      <c r="N282" s="92">
        <f ca="1">IFERROR(__xludf.DUMMYFUNCTION("IMPORTRANGE(""https://docs.google.com/spreadsheets/d/1MeEWN-I1oV_STSDYn1IFDPWt_1FKiwhDph83XaGc0o0/edit?usp=sharing"",""งบพรบ!DP61"")"),0)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IFERROR(__xludf.DUMMYFUNCTION("IMPORTRANGE(""https://docs.google.com/spreadsheets/d/1MeEWN-I1oV_STSDYn1IFDPWt_1FKiwhDph83XaGc0o0/edit?usp=sharing"",""งบพรบ!DL61"")"),0)</f>
        <v>0</v>
      </c>
      <c r="M285" s="92">
        <f ca="1">IFERROR(__xludf.DUMMYFUNCTION("IMPORTRANGE(""https://docs.google.com/spreadsheets/d/1MeEWN-I1oV_STSDYn1IFDPWt_1FKiwhDph83XaGc0o0/edit?usp=sharing"",""งบพรบ!DO61"")"),0)</f>
        <v>0</v>
      </c>
      <c r="N285" s="92">
        <f ca="1">IFERROR(__xludf.DUMMYFUNCTION("IMPORTRANGE(""https://docs.google.com/spreadsheets/d/1MeEWN-I1oV_STSDYn1IFDPWt_1FKiwhDph83XaGc0o0/edit?usp=sharing"",""งบพรบ!DQ61"")"),0)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IFERROR(__xludf.DUMMYFUNCTION("IMPORTRANGE(""https://docs.google.com/spreadsheets/d/1QqKyyYR6Q21VydFLVH3TRQUabQu_ym0Zz7PgGX0-kHA/edit?usp=sharing"",""แผน!EC61"")"),0)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IFERROR(__xludf.DUMMYFUNCTION("IMPORTRANGE(""https://docs.google.com/spreadsheets/d/1QqKyyYR6Q21VydFLVH3TRQUabQu_ym0Zz7PgGX0-kHA/edit?usp=sharing"",""แผน!EB61"")"),0)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IFERROR(__xludf.DUMMYFUNCTION("IMPORTRANGE(""https://docs.google.com/spreadsheets/d/1QqKyyYR6Q21VydFLVH3TRQUabQu_ym0Zz7PgGX0-kHA/edit?usp=sharing"",""แผน!EB61"")"),0)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IFERROR(__xludf.DUMMYFUNCTION("IMPORTRANGE(""https://docs.google.com/spreadsheets/d/1QqKyyYR6Q21VydFLVH3TRQUabQu_ym0Zz7PgGX0-kHA/edit?usp=sharing"",""แผน!EB61"")"),0)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IFERROR(__xludf.DUMMYFUNCTION("IMPORTRANGE(""https://docs.google.com/spreadsheets/d/1QqKyyYR6Q21VydFLVH3TRQUabQu_ym0Zz7PgGX0-kHA/edit?usp=sharing"",""แผน!EB61"")"),0)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IFERROR(__xludf.DUMMYFUNCTION("IMPORTRANGE(""https://docs.google.com/spreadsheets/d/1MeEWN-I1oV_STSDYn1IFDPWt_1FKiwhDph83XaGc0o0/edit?usp=sharing"",""งบพรบ!DS61"")"),0)</f>
        <v>0</v>
      </c>
      <c r="M303" s="92">
        <f ca="1">IFERROR(__xludf.DUMMYFUNCTION("IMPORTRANGE(""https://docs.google.com/spreadsheets/d/1MeEWN-I1oV_STSDYn1IFDPWt_1FKiwhDph83XaGc0o0/edit?usp=sharing"",""งบพรบ!DX61"")"),0)</f>
        <v>0</v>
      </c>
      <c r="N303" s="92">
        <f ca="1">IFERROR(__xludf.DUMMYFUNCTION("IMPORTRANGE(""https://docs.google.com/spreadsheets/d/1MeEWN-I1oV_STSDYn1IFDPWt_1FKiwhDph83XaGc0o0/edit?usp=sharing"",""งบพรบ!DZ61"")"),0)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IFERROR(__xludf.DUMMYFUNCTION("IMPORTRANGE(""https://docs.google.com/spreadsheets/d/1MeEWN-I1oV_STSDYn1IFDPWt_1FKiwhDph83XaGc0o0/edit?usp=sharing"",""งบพรบ!DV61"")"),0)</f>
        <v>0</v>
      </c>
      <c r="M306" s="92">
        <f ca="1">IFERROR(__xludf.DUMMYFUNCTION("IMPORTRANGE(""https://docs.google.com/spreadsheets/d/1MeEWN-I1oV_STSDYn1IFDPWt_1FKiwhDph83XaGc0o0/edit?usp=sharing"",""งบพรบ!DY61"")"),0)</f>
        <v>0</v>
      </c>
      <c r="N306" s="92">
        <f ca="1">IFERROR(__xludf.DUMMYFUNCTION("IMPORTRANGE(""https://docs.google.com/spreadsheets/d/1MeEWN-I1oV_STSDYn1IFDPWt_1FKiwhDph83XaGc0o0/edit?usp=sharing"",""งบพรบ!EA61"")"),0)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IFERROR(__xludf.DUMMYFUNCTION("IMPORTRANGE(""https://docs.google.com/spreadsheets/d/1QqKyyYR6Q21VydFLVH3TRQUabQu_ym0Zz7PgGX0-kHA/edit?usp=sharing"",""แผน!ED61"")"),0)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IFERROR(__xludf.DUMMYFUNCTION("IMPORTRANGE(""https://docs.google.com/spreadsheets/d/1QqKyyYR6Q21VydFLVH3TRQUabQu_ym0Zz7PgGX0-kHA/edit?usp=sharing"",""แผน!ED61"")"),0)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IFERROR(__xludf.DUMMYFUNCTION("IMPORTRANGE(""https://docs.google.com/spreadsheets/d/1QqKyyYR6Q21VydFLVH3TRQUabQu_ym0Zz7PgGX0-kHA/edit?usp=sharing"",""แผน!ED61"")"),0)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IFERROR(__xludf.DUMMYFUNCTION("IMPORTRANGE(""https://docs.google.com/spreadsheets/d/1QqKyyYR6Q21VydFLVH3TRQUabQu_ym0Zz7PgGX0-kHA/edit?usp=sharing"",""แผน!EE61"")"),0)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IFERROR(__xludf.DUMMYFUNCTION("IMPORTRANGE(""https://docs.google.com/spreadsheets/d/1MeEWN-I1oV_STSDYn1IFDPWt_1FKiwhDph83XaGc0o0/edit?usp=sharing"",""งบพรบ!EC61"")"),0)</f>
        <v>0</v>
      </c>
      <c r="M320" s="92">
        <f ca="1">IFERROR(__xludf.DUMMYFUNCTION("IMPORTRANGE(""https://docs.google.com/spreadsheets/d/1MeEWN-I1oV_STSDYn1IFDPWt_1FKiwhDph83XaGc0o0/edit?usp=sharing"",""งบพรบ!EH61"")"),0)</f>
        <v>0</v>
      </c>
      <c r="N320" s="92">
        <f ca="1">IFERROR(__xludf.DUMMYFUNCTION("IMPORTRANGE(""https://docs.google.com/spreadsheets/d/1MeEWN-I1oV_STSDYn1IFDPWt_1FKiwhDph83XaGc0o0/edit?usp=sharing"",""งบพรบ!EJ61"")"),0)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IFERROR(__xludf.DUMMYFUNCTION("IMPORTRANGE(""https://docs.google.com/spreadsheets/d/1MeEWN-I1oV_STSDYn1IFDPWt_1FKiwhDph83XaGc0o0/edit?usp=sharing"",""งบพรบ!EF61"")"),0)</f>
        <v>0</v>
      </c>
      <c r="M323" s="92">
        <f ca="1">IFERROR(__xludf.DUMMYFUNCTION("IMPORTRANGE(""https://docs.google.com/spreadsheets/d/1MeEWN-I1oV_STSDYn1IFDPWt_1FKiwhDph83XaGc0o0/edit?usp=sharing"",""งบพรบ!EI61"")"),0)</f>
        <v>0</v>
      </c>
      <c r="N323" s="92">
        <f ca="1">IFERROR(__xludf.DUMMYFUNCTION("IMPORTRANGE(""https://docs.google.com/spreadsheets/d/1MeEWN-I1oV_STSDYn1IFDPWt_1FKiwhDph83XaGc0o0/edit?usp=sharing"",""งบพรบ!EK61"")"),0)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IFERROR(__xludf.DUMMYFUNCTION("IMPORTRANGE(""https://docs.google.com/spreadsheets/d/1QqKyyYR6Q21VydFLVH3TRQUabQu_ym0Zz7PgGX0-kHA/edit?usp=sharing"",""แผน!EF61"")"),0)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IFERROR(__xludf.DUMMYFUNCTION("IMPORTRANGE(""https://docs.google.com/spreadsheets/d/1QqKyyYR6Q21VydFLVH3TRQUabQu_ym0Zz7PgGX0-kHA/edit?usp=sharing"",""แผน!EG61"")"),1400)</f>
        <v>1400</v>
      </c>
      <c r="J327" s="443">
        <f ca="1">J338+J341+J342+J343</f>
        <v>1787</v>
      </c>
      <c r="K327" s="444">
        <f ca="1">IF(I327&gt;0,J327*100/I327,0)</f>
        <v>127.64285714285714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337200</v>
      </c>
      <c r="M328" s="154">
        <f ca="1">M329+M330</f>
        <v>339700</v>
      </c>
      <c r="N328" s="154">
        <f ca="1">N329+N330</f>
        <v>339700</v>
      </c>
      <c r="O328" s="154">
        <f t="shared" ref="O328:O336" ca="1" si="56">IF(L328&gt;0,N328*100/L328,0)</f>
        <v>100.74139976275208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337200</v>
      </c>
      <c r="M330" s="92">
        <f t="shared" ca="1" si="58"/>
        <v>339700</v>
      </c>
      <c r="N330" s="92">
        <f t="shared" ca="1" si="58"/>
        <v>339700</v>
      </c>
      <c r="O330" s="92">
        <f t="shared" ca="1" si="56"/>
        <v>100.74139976275208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337200</v>
      </c>
      <c r="M331" s="497">
        <f ca="1">M332+M333</f>
        <v>339700</v>
      </c>
      <c r="N331" s="497">
        <f ca="1">N332+N333</f>
        <v>339700</v>
      </c>
      <c r="O331" s="497">
        <f t="shared" ca="1" si="56"/>
        <v>100.74139976275208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IFERROR(__xludf.DUMMYFUNCTION("IMPORTRANGE(""https://docs.google.com/spreadsheets/d/1MeEWN-I1oV_STSDYn1IFDPWt_1FKiwhDph83XaGc0o0/edit?usp=sharing"",""งบพรบ!EM61"")"),337200)</f>
        <v>337200</v>
      </c>
      <c r="M333" s="92">
        <f ca="1">IFERROR(__xludf.DUMMYFUNCTION("IMPORTRANGE(""https://docs.google.com/spreadsheets/d/1MeEWN-I1oV_STSDYn1IFDPWt_1FKiwhDph83XaGc0o0/edit?usp=sharing"",""งบพรบ!ER61"")"),339700)</f>
        <v>339700</v>
      </c>
      <c r="N333" s="92">
        <f ca="1">IFERROR(__xludf.DUMMYFUNCTION("IMPORTRANGE(""https://docs.google.com/spreadsheets/d/1MeEWN-I1oV_STSDYn1IFDPWt_1FKiwhDph83XaGc0o0/edit?usp=sharing"",""งบพรบ!ET61"")"),339700)</f>
        <v>339700</v>
      </c>
      <c r="O333" s="92">
        <f t="shared" ca="1" si="56"/>
        <v>100.74139976275208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IFERROR(__xludf.DUMMYFUNCTION("IMPORTRANGE(""https://docs.google.com/spreadsheets/d/1MeEWN-I1oV_STSDYn1IFDPWt_1FKiwhDph83XaGc0o0/edit?usp=sharing"",""งบพรบ!EP61"")"),0)</f>
        <v>0</v>
      </c>
      <c r="M336" s="92">
        <f ca="1">IFERROR(__xludf.DUMMYFUNCTION("IMPORTRANGE(""https://docs.google.com/spreadsheets/d/1MeEWN-I1oV_STSDYn1IFDPWt_1FKiwhDph83XaGc0o0/edit?usp=sharing"",""งบพรบ!ES61"")"),0)</f>
        <v>0</v>
      </c>
      <c r="N336" s="92">
        <f ca="1">IFERROR(__xludf.DUMMYFUNCTION("IMPORTRANGE(""https://docs.google.com/spreadsheets/d/1MeEWN-I1oV_STSDYn1IFDPWt_1FKiwhDph83XaGc0o0/edit?usp=sharing"",""งบพรบ!EU61"")"),0)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IFERROR(__xludf.DUMMYFUNCTION("IMPORTRANGE(""https://docs.google.com/spreadsheets/d/1QqKyyYR6Q21VydFLVH3TRQUabQu_ym0Zz7PgGX0-kHA/edit?usp=sharing"",""แผน!EG61"")"),1400)</f>
        <v>1400</v>
      </c>
      <c r="J338" s="269">
        <f ca="1">IFERROR(__xludf.DUMMYFUNCTION("IMPORTRANGE(""https://docs.google.com/spreadsheets/d/1kVcqe37tkHyjCSG3S0O1AXqVkqjo8mSIZil3BcpIysc/edit?usp=sharing"",""ศูนย์!D61"")"),1034)</f>
        <v>1034</v>
      </c>
      <c r="K338" s="497">
        <f ca="1">IF(I338&gt;0,J338*100/I338,0)</f>
        <v>73.857142857142861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IFERROR(__xludf.DUMMYFUNCTION("IMPORTRANGE(""https://docs.google.com/spreadsheets/d/1QqKyyYR6Q21VydFLVH3TRQUabQu_ym0Zz7PgGX0-kHA/edit?usp=sharing"",""แผน!EH61"")"),2)</f>
        <v>2</v>
      </c>
      <c r="J340" s="269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IFERROR(__xludf.DUMMYFUNCTION("IMPORTRANGE(""https://docs.google.com/spreadsheets/d/1kVcqe37tkHyjCSG3S0O1AXqVkqjo8mSIZil3BcpIysc/edit?usp=sharing"",""ศูนย์!G61"")"),3)</f>
        <v>3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306980</v>
      </c>
      <c r="M345" s="154">
        <f ca="1">M346+M347</f>
        <v>347700</v>
      </c>
      <c r="N345" s="154">
        <f ca="1">N346+N347</f>
        <v>347700</v>
      </c>
      <c r="O345" s="154">
        <f t="shared" ref="O345:O353" ca="1" si="59">IF(L345&gt;0,N345*100/L345,0)</f>
        <v>113.26470779855366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306980</v>
      </c>
      <c r="M347" s="92">
        <f t="shared" ca="1" si="61"/>
        <v>347700</v>
      </c>
      <c r="N347" s="92">
        <f t="shared" ca="1" si="61"/>
        <v>347700</v>
      </c>
      <c r="O347" s="92">
        <f t="shared" ca="1" si="59"/>
        <v>113.26470779855366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193180</v>
      </c>
      <c r="M348" s="497">
        <f ca="1">M349+M350</f>
        <v>233900</v>
      </c>
      <c r="N348" s="497">
        <f ca="1">N349+N350</f>
        <v>233900</v>
      </c>
      <c r="O348" s="497">
        <f t="shared" ca="1" si="59"/>
        <v>121.07878662387411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IFERROR(__xludf.DUMMYFUNCTION("IMPORTRANGE(""https://docs.google.com/spreadsheets/d/1MeEWN-I1oV_STSDYn1IFDPWt_1FKiwhDph83XaGc0o0/edit?usp=sharing"",""งบพรบ!EW61"")"),193180)</f>
        <v>193180</v>
      </c>
      <c r="M350" s="92">
        <f ca="1">IFERROR(__xludf.DUMMYFUNCTION("IMPORTRANGE(""https://docs.google.com/spreadsheets/d/1MeEWN-I1oV_STSDYn1IFDPWt_1FKiwhDph83XaGc0o0/edit?usp=sharing"",""งบพรบ!FB61"")"),233900)</f>
        <v>233900</v>
      </c>
      <c r="N350" s="92">
        <f ca="1">IFERROR(__xludf.DUMMYFUNCTION("IMPORTRANGE(""https://docs.google.com/spreadsheets/d/1MeEWN-I1oV_STSDYn1IFDPWt_1FKiwhDph83XaGc0o0/edit?usp=sharing"",""งบพรบ!FD61"")"),233900)</f>
        <v>233900</v>
      </c>
      <c r="O350" s="92">
        <f t="shared" ca="1" si="59"/>
        <v>121.07878662387411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113800</v>
      </c>
      <c r="M351" s="497">
        <f ca="1">M352+M353</f>
        <v>113800</v>
      </c>
      <c r="N351" s="497">
        <f ca="1">N352+N353</f>
        <v>113800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IFERROR(__xludf.DUMMYFUNCTION("IMPORTRANGE(""https://docs.google.com/spreadsheets/d/1MeEWN-I1oV_STSDYn1IFDPWt_1FKiwhDph83XaGc0o0/edit?usp=sharing"",""งบพรบ!EZ61"")"),113800)</f>
        <v>113800</v>
      </c>
      <c r="M353" s="92">
        <f ca="1">IFERROR(__xludf.DUMMYFUNCTION("IMPORTRANGE(""https://docs.google.com/spreadsheets/d/1MeEWN-I1oV_STSDYn1IFDPWt_1FKiwhDph83XaGc0o0/edit?usp=sharing"",""งบพรบ!FC61"")"),113800)</f>
        <v>113800</v>
      </c>
      <c r="N353" s="92">
        <f ca="1">IFERROR(__xludf.DUMMYFUNCTION("IMPORTRANGE(""https://docs.google.com/spreadsheets/d/1MeEWN-I1oV_STSDYn1IFDPWt_1FKiwhDph83XaGc0o0/edit?usp=sharing"",""งบพรบ!FE61"")"),113800)</f>
        <v>113800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IFERROR(__xludf.DUMMYFUNCTION("IMPORTRANGE(""https://docs.google.com/spreadsheets/d/1QqKyyYR6Q21VydFLVH3TRQUabQu_ym0Zz7PgGX0-kHA/edit?usp=sharing"",""แผน!EO61"")"),0)</f>
        <v>0</v>
      </c>
      <c r="J359" s="269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IFERROR(__xludf.DUMMYFUNCTION("IMPORTRANGE(""https://docs.google.com/spreadsheets/d/1QqKyyYR6Q21VydFLVH3TRQUabQu_ym0Zz7PgGX0-kHA/edit?usp=sharing"",""แผน!EP61"")"),0)</f>
        <v>0</v>
      </c>
      <c r="J360" s="269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IFERROR(__xludf.DUMMYFUNCTION("IMPORTRANGE(""https://docs.google.com/spreadsheets/d/1QqKyyYR6Q21VydFLVH3TRQUabQu_ym0Zz7PgGX0-kHA/edit?usp=sharing"",""แผน!EP61"")"),0)</f>
        <v>0</v>
      </c>
      <c r="J362" s="269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IFERROR(__xludf.DUMMYFUNCTION("IMPORTRANGE(""https://docs.google.com/spreadsheets/d/1QqKyyYR6Q21VydFLVH3TRQUabQu_ym0Zz7PgGX0-kHA/edit?usp=sharing"",""แผน!EI61"")"),0)</f>
        <v>0</v>
      </c>
      <c r="J369" s="269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IFERROR(__xludf.DUMMYFUNCTION("IMPORTRANGE(""https://docs.google.com/spreadsheets/d/1QqKyyYR6Q21VydFLVH3TRQUabQu_ym0Zz7PgGX0-kHA/edit?usp=sharing"",""แผน!EJ61"")"),0)</f>
        <v>0</v>
      </c>
      <c r="J370" s="269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IFERROR(__xludf.DUMMYFUNCTION("IMPORTRANGE(""https://docs.google.com/spreadsheets/d/1QqKyyYR6Q21VydFLVH3TRQUabQu_ym0Zz7PgGX0-kHA/edit?usp=sharing"",""แผน!EJ61"")"),0)</f>
        <v>0</v>
      </c>
      <c r="J372" s="269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IFERROR(__xludf.DUMMYFUNCTION("IMPORTRANGE(""https://docs.google.com/spreadsheets/d/1QqKyyYR6Q21VydFLVH3TRQUabQu_ym0Zz7PgGX0-kHA/edit?usp=sharing"",""แผน!ET61"")"),0)</f>
        <v>0</v>
      </c>
      <c r="J378" s="269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IFERROR(__xludf.DUMMYFUNCTION("IMPORTRANGE(""https://docs.google.com/spreadsheets/d/1QqKyyYR6Q21VydFLVH3TRQUabQu_ym0Zz7PgGX0-kHA/edit?usp=sharing"",""แผน!EU61"")"),0)</f>
        <v>0</v>
      </c>
      <c r="J379" s="269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IFERROR(__xludf.DUMMYFUNCTION("IMPORTRANGE(""https://docs.google.com/spreadsheets/d/1QqKyyYR6Q21VydFLVH3TRQUabQu_ym0Zz7PgGX0-kHA/edit?usp=sharing"",""แผน!EU61"")"),0)</f>
        <v>0</v>
      </c>
      <c r="J381" s="269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6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IFERROR(__xludf.DUMMYFUNCTION("IMPORTRANGE(""https://docs.google.com/spreadsheets/d/1XWAQStnk-4SwqDmLtmXYiTMKHgktTP8We1SCoS47DrQ/edit?usp=sharing"",""จัดที่ดิน!AP61"")"),2)</f>
        <v>2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IFERROR(__xludf.DUMMYFUNCTION("IMPORTRANGE(""https://docs.google.com/spreadsheets/d/1MeEWN-I1oV_STSDYn1IFDPWt_1FKiwhDph83XaGc0o0/edit?usp=sharing"",""งบพรบ!FG61"")"),0)</f>
        <v>0</v>
      </c>
      <c r="M394" s="92">
        <f ca="1">IFERROR(__xludf.DUMMYFUNCTION("IMPORTRANGE(""https://docs.google.com/spreadsheets/d/1MeEWN-I1oV_STSDYn1IFDPWt_1FKiwhDph83XaGc0o0/edit?usp=sharing"",""งบพรบ!FL61"")"),0)</f>
        <v>0</v>
      </c>
      <c r="N394" s="92">
        <f ca="1">IFERROR(__xludf.DUMMYFUNCTION("IMPORTRANGE(""https://docs.google.com/spreadsheets/d/1MeEWN-I1oV_STSDYn1IFDPWt_1FKiwhDph83XaGc0o0/edit?usp=sharing"",""งบพรบ!FN61"")"),0)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IFERROR(__xludf.DUMMYFUNCTION("IMPORTRANGE(""https://docs.google.com/spreadsheets/d/1MeEWN-I1oV_STSDYn1IFDPWt_1FKiwhDph83XaGc0o0/edit?usp=sharing"",""งบพรบ!FJ61"")"),0)</f>
        <v>0</v>
      </c>
      <c r="M397" s="92">
        <f ca="1">IFERROR(__xludf.DUMMYFUNCTION("IMPORTRANGE(""https://docs.google.com/spreadsheets/d/1MeEWN-I1oV_STSDYn1IFDPWt_1FKiwhDph83XaGc0o0/edit?usp=sharing"",""งบพรบ!FM61"")"),0)</f>
        <v>0</v>
      </c>
      <c r="N397" s="92">
        <f ca="1">IFERROR(__xludf.DUMMYFUNCTION("IMPORTRANGE(""https://docs.google.com/spreadsheets/d/1MeEWN-I1oV_STSDYn1IFDPWt_1FKiwhDph83XaGc0o0/edit?usp=sharing"",""งบพรบ!FO61"")"),0)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IFERROR(__xludf.DUMMYFUNCTION("IMPORTRANGE(""https://docs.google.com/spreadsheets/d/1MeEWN-I1oV_STSDYn1IFDPWt_1FKiwhDph83XaGc0o0/edit?usp=sharing"",""งบพรบ!FQ61"")"),0)</f>
        <v>0</v>
      </c>
      <c r="M407" s="92">
        <f ca="1">IFERROR(__xludf.DUMMYFUNCTION("IMPORTRANGE(""https://docs.google.com/spreadsheets/d/1MeEWN-I1oV_STSDYn1IFDPWt_1FKiwhDph83XaGc0o0/edit?usp=sharing"",""งบพรบ!FV61"")"),0)</f>
        <v>0</v>
      </c>
      <c r="N407" s="92">
        <f ca="1">IFERROR(__xludf.DUMMYFUNCTION("IMPORTRANGE(""https://docs.google.com/spreadsheets/d/1MeEWN-I1oV_STSDYn1IFDPWt_1FKiwhDph83XaGc0o0/edit?usp=sharing"",""งบพรบ!FX61"")"),0)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IFERROR(__xludf.DUMMYFUNCTION("IMPORTRANGE(""https://docs.google.com/spreadsheets/d/1MeEWN-I1oV_STSDYn1IFDPWt_1FKiwhDph83XaGc0o0/edit?usp=sharing"",""งบพรบ!FT61"")"),0)</f>
        <v>0</v>
      </c>
      <c r="M410" s="92">
        <f ca="1">IFERROR(__xludf.DUMMYFUNCTION("IMPORTRANGE(""https://docs.google.com/spreadsheets/d/1MeEWN-I1oV_STSDYn1IFDPWt_1FKiwhDph83XaGc0o0/edit?usp=sharing"",""งบพรบ!FW61"")"),0)</f>
        <v>0</v>
      </c>
      <c r="N410" s="92">
        <f ca="1">IFERROR(__xludf.DUMMYFUNCTION("IMPORTRANGE(""https://docs.google.com/spreadsheets/d/1MeEWN-I1oV_STSDYn1IFDPWt_1FKiwhDph83XaGc0o0/edit?usp=sharing"",""งบพรบ!FY61"")"),0)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289870</v>
      </c>
      <c r="M414" s="549">
        <f ca="1">M419+M444+M467+M502+M523+M544+M629+M655+M685+M737+M754+M770+M786+M805</f>
        <v>268770</v>
      </c>
      <c r="N414" s="549">
        <f>N419+N444+N467+N502+N523+N544+N629+N655+N685+N737+N754+N770+N786+N805</f>
        <v>268770</v>
      </c>
      <c r="O414" s="549">
        <f ca="1">IF(L414&gt;0,N414*100/L414,0)</f>
        <v>92.720874874943945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66560</v>
      </c>
      <c r="M419" s="154">
        <f ca="1">M420+M421</f>
        <v>66560</v>
      </c>
      <c r="N419" s="154">
        <f>N420+N421</f>
        <v>66560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66560</v>
      </c>
      <c r="M421" s="92">
        <f t="shared" ca="1" si="73"/>
        <v>66560</v>
      </c>
      <c r="N421" s="92">
        <f t="shared" si="73"/>
        <v>66560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66560</v>
      </c>
      <c r="N422" s="497">
        <f>N423+N424</f>
        <v>66560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IFERROR(__xludf.DUMMYFUNCTION("IMPORTRANGE(""https://docs.google.com/spreadsheets/d/1QqKyyYR6Q21VydFLVH3TRQUabQu_ym0Zz7PgGX0-kHA/edit?usp=sharing"",""แผน!EY61"")"),66560)</f>
        <v>66560</v>
      </c>
      <c r="M424" s="92">
        <f ca="1">L424</f>
        <v>66560</v>
      </c>
      <c r="N424" s="92">
        <f>N425+N426+N427+N428</f>
        <v>66560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39100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27460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IFERROR(__xludf.DUMMYFUNCTION("IMPORTRANGE(""https://docs.google.com/spreadsheets/d/1QqKyyYR6Q21VydFLVH3TRQUabQu_ym0Zz7PgGX0-kHA/edit?usp=sharing"",""แผน!FB61"")"),0)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IFERROR(__xludf.DUMMYFUNCTION("IMPORTRANGE(""https://docs.google.com/spreadsheets/d/1QqKyyYR6Q21VydFLVH3TRQUabQu_ym0Zz7PgGX0-kHA/edit?usp=sharing"",""แผน!FE61"")"),0)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IFERROR(__xludf.DUMMYFUNCTION("IMPORTRANGE(""https://docs.google.com/spreadsheets/d/1QqKyyYR6Q21VydFLVH3TRQUabQu_ym0Zz7PgGX0-kHA/edit?usp=sharing"",""แผน!FG61"")"),1)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IFERROR(__xludf.DUMMYFUNCTION("IMPORTRANGE(""https://docs.google.com/spreadsheets/d/1QqKyyYR6Q21VydFLVH3TRQUabQu_ym0Zz7PgGX0-kHA/edit?usp=sharing"",""แผน!FH61"")"),0)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10</v>
      </c>
      <c r="J442" s="585">
        <f>J460</f>
        <v>10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</v>
      </c>
      <c r="J443" s="565">
        <f>J462</f>
        <v>20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70660</v>
      </c>
      <c r="M444" s="194">
        <f ca="1">M445+M446</f>
        <v>70660</v>
      </c>
      <c r="N444" s="194">
        <f>N445+N446</f>
        <v>70660</v>
      </c>
      <c r="O444" s="194">
        <f t="shared" ref="O444:O449" ca="1" si="75">IF(L444&gt;0,N444*100/L444,0)</f>
        <v>100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70660</v>
      </c>
      <c r="M446" s="92">
        <f t="shared" ca="1" si="77"/>
        <v>70660</v>
      </c>
      <c r="N446" s="92">
        <f t="shared" si="77"/>
        <v>70660</v>
      </c>
      <c r="O446" s="92">
        <f t="shared" ca="1" si="75"/>
        <v>100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70660</v>
      </c>
      <c r="M447" s="497">
        <f ca="1">M448+M449</f>
        <v>70660</v>
      </c>
      <c r="N447" s="497">
        <f>N448+N449</f>
        <v>70660</v>
      </c>
      <c r="O447" s="497">
        <f t="shared" ca="1" si="75"/>
        <v>100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IFERROR(__xludf.DUMMYFUNCTION("IMPORTRANGE(""https://docs.google.com/spreadsheets/d/1QqKyyYR6Q21VydFLVH3TRQUabQu_ym0Zz7PgGX0-kHA/edit?usp=sharing"",""แผน!FJ61"")"),70660)</f>
        <v>70660</v>
      </c>
      <c r="M449" s="92">
        <f ca="1">L449</f>
        <v>70660</v>
      </c>
      <c r="N449" s="92">
        <f>N450+N451+N452+N453</f>
        <v>70660</v>
      </c>
      <c r="O449" s="92">
        <f t="shared" ca="1" si="75"/>
        <v>100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21540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20720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IFERROR(__xludf.DUMMYFUNCTION("IMPORTRANGE(""https://docs.google.com/spreadsheets/d/1QqKyyYR6Q21VydFLVH3TRQUabQu_ym0Zz7PgGX0-kHA/edit?usp=sharing"",""แผน!FM61"")"),0)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IFERROR(__xludf.DUMMYFUNCTION("IMPORTRANGE(""https://docs.google.com/spreadsheets/d/1QqKyyYR6Q21VydFLVH3TRQUabQu_ym0Zz7PgGX0-kHA/edit?usp=sharing"",""แผน!FN61"")"),10)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IFERROR(__xludf.DUMMYFUNCTION("IMPORTRANGE(""https://docs.google.com/spreadsheets/d/1QqKyyYR6Q21VydFLVH3TRQUabQu_ym0Zz7PgGX0-kHA/edit?usp=sharing"",""แผน!FO61"")"),20)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IFERROR(__xludf.DUMMYFUNCTION("IMPORTRANGE(""https://docs.google.com/spreadsheets/d/1QqKyyYR6Q21VydFLVH3TRQUabQu_ym0Zz7PgGX0-kHA/edit?usp=sharing"",""แผน!FO61"")"),20)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IFERROR(__xludf.DUMMYFUNCTION("IMPORTRANGE(""https://docs.google.com/spreadsheets/d/1QqKyyYR6Q21VydFLVH3TRQUabQu_ym0Zz7PgGX0-kHA/edit?usp=sharing"",""แผน!FN61"")"),10)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IFERROR(__xludf.DUMMYFUNCTION("IMPORTRANGE(""https://docs.google.com/spreadsheets/d/1QqKyyYR6Q21VydFLVH3TRQUabQu_ym0Zz7PgGX0-kHA/edit?usp=sharing"",""แผน!FS61"")"),0)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IFERROR(__xludf.DUMMYFUNCTION("IMPORTRANGE(""https://docs.google.com/spreadsheets/d/1QqKyyYR6Q21VydFLVH3TRQUabQu_ym0Zz7PgGX0-kHA/edit?usp=sharing"",""แผน!FV61"")"),0)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IFERROR(__xludf.DUMMYFUNCTION("IMPORTRANGE(""https://docs.google.com/spreadsheets/d/1QqKyyYR6Q21VydFLVH3TRQUabQu_ym0Zz7PgGX0-kHA/edit?usp=sharing"",""แผน!FY61"")"),0)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IFERROR(__xludf.DUMMYFUNCTION("IMPORTRANGE(""https://docs.google.com/spreadsheets/d/1QqKyyYR6Q21VydFLVH3TRQUabQu_ym0Zz7PgGX0-kHA/edit?usp=sharing"",""แผน!FZ61"")"),0)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IFERROR(__xludf.DUMMYFUNCTION("IMPORTRANGE(""https://docs.google.com/spreadsheets/d/1QqKyyYR6Q21VydFLVH3TRQUabQu_ym0Zz7PgGX0-kHA/edit?usp=sharing"",""แผน!GA61"")"),0)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IFERROR(__xludf.DUMMYFUNCTION("IMPORTRANGE(""https://docs.google.com/spreadsheets/d/1QqKyyYR6Q21VydFLVH3TRQUabQu_ym0Zz7PgGX0-kHA/edit?usp=sharing"",""แผน!GB61"")"),0)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IFERROR(__xludf.DUMMYFUNCTION("IMPORTRANGE(""https://docs.google.com/spreadsheets/d/1QqKyyYR6Q21VydFLVH3TRQUabQu_ym0Zz7PgGX0-kHA/edit?usp=sharing"",""แผน!GC61"")"),0)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IFERROR(__xludf.DUMMYFUNCTION("IMPORTRANGE(""https://docs.google.com/spreadsheets/d/1QqKyyYR6Q21VydFLVH3TRQUabQu_ym0Zz7PgGX0-kHA/edit?usp=sharing"",""แผน!FY61"")"),0)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IFERROR(__xludf.DUMMYFUNCTION("IMPORTRANGE(""https://docs.google.com/spreadsheets/d/1QqKyyYR6Q21VydFLVH3TRQUabQu_ym0Zz7PgGX0-kHA/edit?usp=sharing"",""แผน!GA61"")"),0)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IFERROR(__xludf.DUMMYFUNCTION("IMPORTRANGE(""https://docs.google.com/spreadsheets/d/1QqKyyYR6Q21VydFLVH3TRQUabQu_ym0Zz7PgGX0-kHA/edit?usp=sharing"",""แผน!GQ61"")"),0)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IFERROR(__xludf.DUMMYFUNCTION("IMPORTRANGE(""https://docs.google.com/spreadsheets/d/1QqKyyYR6Q21VydFLVH3TRQUabQu_ym0Zz7PgGX0-kHA/edit?usp=sharing"",""แผน!GT61"")"),0)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IFERROR(__xludf.DUMMYFUNCTION("IMPORTRANGE(""https://docs.google.com/spreadsheets/d/1QqKyyYR6Q21VydFLVH3TRQUabQu_ym0Zz7PgGX0-kHA/edit?usp=sharing"",""แผน!GV61"")"),0)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IFERROR(__xludf.DUMMYFUNCTION("IMPORTRANGE(""https://docs.google.com/spreadsheets/d/1QqKyyYR6Q21VydFLVH3TRQUabQu_ym0Zz7PgGX0-kHA/edit?usp=sharing"",""แผน!GW61"")"),0)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IFERROR(__xludf.DUMMYFUNCTION("IMPORTRANGE(""https://docs.google.com/spreadsheets/d/1QqKyyYR6Q21VydFLVH3TRQUabQu_ym0Zz7PgGX0-kHA/edit?usp=sharing"",""แผน!GX61"")"),0)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IFERROR(__xludf.DUMMYFUNCTION("IMPORTRANGE(""https://docs.google.com/spreadsheets/d/1QqKyyYR6Q21VydFLVH3TRQUabQu_ym0Zz7PgGX0-kHA/edit?usp=sharing"",""แผน!GY61"")"),0)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IFERROR(__xludf.DUMMYFUNCTION("IMPORTRANGE(""https://docs.google.com/spreadsheets/d/1QqKyyYR6Q21VydFLVH3TRQUabQu_ym0Zz7PgGX0-kHA/edit?usp=sharing"",""แผน!GZ61"")"),0)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73200</v>
      </c>
      <c r="M544" s="154">
        <f ca="1">M545+M546</f>
        <v>70200</v>
      </c>
      <c r="N544" s="154">
        <f>N545+N546</f>
        <v>70200</v>
      </c>
      <c r="O544" s="154">
        <f t="shared" ref="O544:O549" ca="1" si="88">IF(L544&gt;0,N544*100/L544,0)</f>
        <v>95.901639344262293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73200</v>
      </c>
      <c r="M546" s="92">
        <f ca="1">M549+M556</f>
        <v>70200</v>
      </c>
      <c r="N546" s="92">
        <f>N549+N556</f>
        <v>70200</v>
      </c>
      <c r="O546" s="92">
        <f t="shared" ca="1" si="88"/>
        <v>95.901639344262293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73200</v>
      </c>
      <c r="M547" s="497">
        <f ca="1">M548+M549</f>
        <v>70200</v>
      </c>
      <c r="N547" s="497">
        <f>N548+N549</f>
        <v>70200</v>
      </c>
      <c r="O547" s="497">
        <f t="shared" ca="1" si="88"/>
        <v>95.901639344262293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IFERROR(__xludf.DUMMYFUNCTION("IMPORTRANGE(""https://docs.google.com/spreadsheets/d/1QqKyyYR6Q21VydFLVH3TRQUabQu_ym0Zz7PgGX0-kHA/edit?usp=sharing"",""แผน!HB61"")"),73200)</f>
        <v>73200</v>
      </c>
      <c r="M549" s="92">
        <f ca="1">L549-3000</f>
        <v>70200</v>
      </c>
      <c r="N549" s="92">
        <f>N550+N551+N552+N553+N554</f>
        <v>70200</v>
      </c>
      <c r="O549" s="92">
        <f t="shared" ca="1" si="88"/>
        <v>95.901639344262293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70200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IFERROR(__xludf.DUMMYFUNCTION("IMPORTRANGE(""https://docs.google.com/spreadsheets/d/1QqKyyYR6Q21VydFLVH3TRQUabQu_ym0Zz7PgGX0-kHA/edit?usp=sharing"",""แผน!HF61"")"),0)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IFERROR(__xludf.DUMMYFUNCTION("IMPORTRANGE(""https://docs.google.com/spreadsheets/d/1QqKyyYR6Q21VydFLVH3TRQUabQu_ym0Zz7PgGX0-kHA/edit?usp=sharing"",""แผน!HH61"")"),0)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IFERROR(__xludf.DUMMYFUNCTION("IMPORTRANGE(""https://docs.google.com/spreadsheets/d/1QqKyyYR6Q21VydFLVH3TRQUabQu_ym0Zz7PgGX0-kHA/edit?usp=sharing"",""แผน!HG61"")"),0)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IFERROR(__xludf.DUMMYFUNCTION("IMPORTRANGE(""https://docs.google.com/spreadsheets/d/1QqKyyYR6Q21VydFLVH3TRQUabQu_ym0Zz7PgGX0-kHA/edit?usp=sharing"",""แผน!HH61"")"),0)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IFERROR(__xludf.DUMMYFUNCTION("IMPORTRANGE(""https://docs.google.com/spreadsheets/d/1QqKyyYR6Q21VydFLVH3TRQUabQu_ym0Zz7PgGX0-kHA/edit?usp=sharing"",""แผน!HG61"")"),0)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IFERROR(__xludf.DUMMYFUNCTION("IMPORTRANGE(""https://docs.google.com/spreadsheets/d/1QqKyyYR6Q21VydFLVH3TRQUabQu_ym0Zz7PgGX0-kHA/edit?usp=sharing"",""แผน!HH61"")"),0)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IFERROR(__xludf.DUMMYFUNCTION("IMPORTRANGE(""https://docs.google.com/spreadsheets/d/1QqKyyYR6Q21VydFLVH3TRQUabQu_ym0Zz7PgGX0-kHA/edit?usp=sharing"",""แผน!HG61"")"),0)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148.13999999999999</v>
      </c>
      <c r="J592" s="703">
        <f>J593</f>
        <v>148.25</v>
      </c>
      <c r="K592" s="672">
        <f ca="1">IF(I592&gt;0,J592*100/I592,0)</f>
        <v>100.07425408397462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2">
        <f>J595+J603+J609</f>
        <v>148.25</v>
      </c>
      <c r="K593" s="410">
        <f ca="1">IF(I593&gt;0,J593*100/I593,0)</f>
        <v>100.07425408397462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IFERROR(__xludf.DUMMYFUNCTION("IMPORTRANGE(""https://docs.google.com/spreadsheets/d/1QqKyyYR6Q21VydFLVH3TRQUabQu_ym0Zz7PgGX0-kHA/edit?usp=sharing"",""แผน!HI61"")"),24)</f>
        <v>24</v>
      </c>
      <c r="J594" s="192">
        <f>J596+J604+J610</f>
        <v>24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60.26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9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882">
        <v>43.26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4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882">
        <v>17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5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883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882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35.49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3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882">
        <v>35.49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3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882">
        <v>52.5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12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IFERROR(__xludf.DUMMYFUNCTION("IMPORTRANGE(""https://docs.google.com/spreadsheets/d/1QqKyyYR6Q21VydFLVH3TRQUabQu_ym0Zz7PgGX0-kHA/edit?usp=sharing"",""แผน!HN61"")"),0)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IFERROR(__xludf.DUMMYFUNCTION("IMPORTRANGE(""https://docs.google.com/spreadsheets/d/1QqKyyYR6Q21VydFLVH3TRQUabQu_ym0Zz7PgGX0-kHA/edit?usp=sharing"",""แผน!HQ61"")"),0)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IFERROR(__xludf.DUMMYFUNCTION("IMPORTRANGE(""https://docs.google.com/spreadsheets/d/1QqKyyYR6Q21VydFLVH3TRQUabQu_ym0Zz7PgGX0-kHA/edit?usp=sharing"",""แผน!HR61"")"),0)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IFERROR(__xludf.DUMMYFUNCTION("IMPORTRANGE(""https://docs.google.com/spreadsheets/d/1QqKyyYR6Q21VydFLVH3TRQUabQu_ym0Zz7PgGX0-kHA/edit?usp=sharing"",""แผน!HR61"")"),0)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IFERROR(__xludf.DUMMYFUNCTION("IMPORTRANGE(""https://docs.google.com/spreadsheets/d/1XWAQStnk-4SwqDmLtmXYiTMKHgktTP8We1SCoS47DrQ/edit?usp=sharing"",""จัดที่ดิน!AS61"")"),0)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IFERROR(__xludf.DUMMYFUNCTION("IMPORTRANGE(""https://docs.google.com/spreadsheets/d/1QqKyyYR6Q21VydFLVH3TRQUabQu_ym0Zz7PgGX0-kHA/edit?usp=sharing"",""แผน!HS61"")"),0)</f>
        <v>0</v>
      </c>
      <c r="J647" s="269">
        <f ca="1">IFERROR(__xludf.DUMMYFUNCTION("IMPORTRANGE(""https://docs.google.com/spreadsheets/d/1XWAQStnk-4SwqDmLtmXYiTMKHgktTP8We1SCoS47DrQ/edit?usp=sharing"",""จัดที่ดิน!AU61"")"),0)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IFERROR(__xludf.DUMMYFUNCTION("IMPORTRANGE(""https://docs.google.com/spreadsheets/d/1QqKyyYR6Q21VydFLVH3TRQUabQu_ym0Zz7PgGX0-kHA/edit?usp=sharing"",""แผน!HS61"")"),0)</f>
        <v>0</v>
      </c>
      <c r="J649" s="269">
        <f ca="1">IFERROR(__xludf.DUMMYFUNCTION("IMPORTRANGE(""https://docs.google.com/spreadsheets/d/1XWAQStnk-4SwqDmLtmXYiTMKHgktTP8We1SCoS47DrQ/edit?usp=sharing"",""จัดที่ดิน!AW61"")"),0)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IFERROR(__xludf.DUMMYFUNCTION("IMPORTRANGE(""https://docs.google.com/spreadsheets/d/1QqKyyYR6Q21VydFLVH3TRQUabQu_ym0Zz7PgGX0-kHA/edit?usp=sharing"",""แผน!HS61"")"),0)</f>
        <v>0</v>
      </c>
      <c r="J651" s="269">
        <f ca="1">IFERROR(__xludf.DUMMYFUNCTION("IMPORTRANGE(""https://docs.google.com/spreadsheets/d/1XWAQStnk-4SwqDmLtmXYiTMKHgktTP8We1SCoS47DrQ/edit?usp=sharing"",""จัดที่ดิน!AY61"")"),0)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IFERROR(__xludf.DUMMYFUNCTION("IMPORTRANGE(""https://docs.google.com/spreadsheets/d/1QqKyyYR6Q21VydFLVH3TRQUabQu_ym0Zz7PgGX0-kHA/edit?usp=sharing"",""แผน!HV61"")"),0)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IFERROR(__xludf.DUMMYFUNCTION("IMPORTRANGE(""https://docs.google.com/spreadsheets/d/1QqKyyYR6Q21VydFLVH3TRQUabQu_ym0Zz7PgGX0-kHA/edit?usp=sharing"",""แผน!HZ61"")"),0)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IFERROR(__xludf.DUMMYFUNCTION("IMPORTRANGE(""https://docs.google.com/spreadsheets/d/1QqKyyYR6Q21VydFLVH3TRQUabQu_ym0Zz7PgGX0-kHA/edit?usp=sharing"",""แผน!HZ61"")"),0)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79450</v>
      </c>
      <c r="M685" s="194">
        <f ca="1">M686+M687</f>
        <v>61350</v>
      </c>
      <c r="N685" s="194">
        <f>N686+N687</f>
        <v>61350</v>
      </c>
      <c r="O685" s="194">
        <f ca="1">IF(L685&gt;0,N685*100/L685,0)</f>
        <v>77.218376337319071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79450</v>
      </c>
      <c r="M687" s="92">
        <f t="shared" ca="1" si="97"/>
        <v>61350</v>
      </c>
      <c r="N687" s="92">
        <f t="shared" si="97"/>
        <v>61350</v>
      </c>
      <c r="O687" s="92">
        <f ca="1">IF(L687&gt;0,N687*100/L687,0)</f>
        <v>77.218376337319071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79450</v>
      </c>
      <c r="M688" s="497">
        <f ca="1">M689+M690</f>
        <v>61350</v>
      </c>
      <c r="N688" s="497">
        <f>N689+N690</f>
        <v>61350</v>
      </c>
      <c r="O688" s="497">
        <f ca="1">IF(L688&gt;0,N688*100/L688,0)</f>
        <v>77.218376337319071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IFERROR(__xludf.DUMMYFUNCTION("IMPORTRANGE(""https://docs.google.com/spreadsheets/d/1QqKyyYR6Q21VydFLVH3TRQUabQu_ym0Zz7PgGX0-kHA/edit?usp=sharing"",""แผน!HW61"")"),79450)</f>
        <v>79450</v>
      </c>
      <c r="M690" s="92">
        <f ca="1">L690-18100</f>
        <v>61350</v>
      </c>
      <c r="N690" s="92">
        <f>N691+N692+N693+N694</f>
        <v>61350</v>
      </c>
      <c r="O690" s="92">
        <f ca="1">IF(L690&gt;0,N690*100/L690,0)</f>
        <v>77.218376337319071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61350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69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69">
        <f ca="1">IFERROR(__xludf.DUMMYFUNCTION("IMPORTRANGE(""https://docs.google.com/spreadsheets/d/1XWAQStnk-4SwqDmLtmXYiTMKHgktTP8We1SCoS47DrQ/edit?usp=sharing"",""จัดที่ดิน!BD61"")"),0)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304.62</v>
      </c>
      <c r="K701" s="194">
        <f ca="1">IF(I701&gt;0,J701*100/I701,0)</f>
        <v>101.54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40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43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882">
        <v>304.62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354</v>
      </c>
      <c r="K708" s="194">
        <f ca="1">IF(I708&gt;0,J708*100/I708,0)</f>
        <v>101.14285714285714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25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354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2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2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41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24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23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313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IFERROR(__xludf.DUMMYFUNCTION("IMPORTRANGE(""https://docs.google.com/spreadsheets/d/1XWAQStnk-4SwqDmLtmXYiTMKHgktTP8We1SCoS47DrQ/edit?usp=sharing"",""จัดที่ดิน!BF61"")"),62)</f>
        <v>62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IFERROR(__xludf.DUMMYFUNCTION("IMPORTRANGE(""https://docs.google.com/spreadsheets/d/1XWAQStnk-4SwqDmLtmXYiTMKHgktTP8We1SCoS47DrQ/edit?usp=sharing"",""จัดที่ดิน!BG61"")"),73)</f>
        <v>73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69">
        <f ca="1">IFERROR(__xludf.DUMMYFUNCTION("IMPORTRANGE(""https://docs.google.com/spreadsheets/d/1XWAQStnk-4SwqDmLtmXYiTMKHgktTP8We1SCoS47DrQ/edit?usp=sharing"",""จัดที่ดิน!BH61"")"),568.68)</f>
        <v>568.67999999999995</v>
      </c>
      <c r="K720" s="497">
        <f ca="1">IF(I720&gt;0,J720*100/I720,0)</f>
        <v>97.210256410256392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28</v>
      </c>
      <c r="K721" s="194">
        <f ca="1">IF(I721&gt;0,J721*100/I721,0)</f>
        <v>70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311.50874999999996</v>
      </c>
      <c r="K722" s="194">
        <f ca="1">IF(I722&gt;0,J722*100/I722,0)</f>
        <v>77.877187499999991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69">
        <f ca="1">IFERROR(__xludf.DUMMYFUNCTION("IMPORTRANGE(""https://docs.google.com/spreadsheets/d/1XWAQStnk-4SwqDmLtmXYiTMKHgktTP8We1SCoS47DrQ/edit?usp=sharing"",""จัดที่ดิน!BM61"")"),20)</f>
        <v>20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IFERROR(__xludf.DUMMYFUNCTION("IMPORTRANGE(""https://docs.google.com/spreadsheets/d/1XWAQStnk-4SwqDmLtmXYiTMKHgktTP8We1SCoS47DrQ/edit?usp=sharing"",""จัดที่ดิน!BN61"")"),24)</f>
        <v>24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69">
        <f ca="1">IFERROR(__xludf.DUMMYFUNCTION("IMPORTRANGE(""https://docs.google.com/spreadsheets/d/1XWAQStnk-4SwqDmLtmXYiTMKHgktTP8We1SCoS47DrQ/edit?usp=sharing"",""จัดที่ดิน!BO61"")"),264.35375)</f>
        <v>264.35374999999999</v>
      </c>
      <c r="K725" s="497">
        <f ca="1">IF(I725&gt;0,J725*100/I725,0)</f>
        <v>132.176875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69">
        <f ca="1">IFERROR(__xludf.DUMMYFUNCTION("IMPORTRANGE(""https://docs.google.com/spreadsheets/d/1XWAQStnk-4SwqDmLtmXYiTMKHgktTP8We1SCoS47DrQ/edit?usp=sharing"",""จัดที่ดิน!BR61"")"),8)</f>
        <v>8</v>
      </c>
      <c r="K726" s="497">
        <f ca="1">IF(I726&gt;0,J726*100/I726,0)</f>
        <v>40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IFERROR(__xludf.DUMMYFUNCTION("IMPORTRANGE(""https://docs.google.com/spreadsheets/d/1XWAQStnk-4SwqDmLtmXYiTMKHgktTP8We1SCoS47DrQ/edit?usp=sharing"",""จัดที่ดิน!BS61"")"),8)</f>
        <v>8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69">
        <f ca="1">IFERROR(__xludf.DUMMYFUNCTION("IMPORTRANGE(""https://docs.google.com/spreadsheets/d/1XWAQStnk-4SwqDmLtmXYiTMKHgktTP8We1SCoS47DrQ/edit?usp=sharing"",""จัดที่ดิน!BT61"")"),47.155)</f>
        <v>47.155000000000001</v>
      </c>
      <c r="K728" s="497">
        <f ca="1">IF(I728&gt;0,J728*100/I728,0)</f>
        <v>23.577500000000001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106.85</v>
      </c>
      <c r="K729" s="194">
        <f ca="1">IF(I729&gt;0,J729*100/I729,0)</f>
        <v>213.7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7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2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882">
        <v>53.75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4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881">
        <v>53.1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IFERROR(__xludf.DUMMYFUNCTION("IMPORTRANGE(""https://docs.google.com/spreadsheets/d/1QqKyyYR6Q21VydFLVH3TRQUabQu_ym0Zz7PgGX0-kHA/edit?usp=sharing"",""แผน!JJ61"")"),0)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IFERROR(__xludf.DUMMYFUNCTION("IMPORTRANGE(""https://docs.google.com/spreadsheets/d/1QqKyyYR6Q21VydFLVH3TRQUabQu_ym0Zz7PgGX0-kHA/edit?usp=sharing"",""แผน!JN61"")"),0)</f>
        <v>0</v>
      </c>
      <c r="J800" s="183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69">
        <f ca="1">IFERROR(__xludf.DUMMYFUNCTION("IMPORTRANGE(""https://docs.google.com/spreadsheets/d/19vJNZY_5yjcGF2XGBMNZRCAIB0Kwfpjp8YEOfu-bneM/edit?usp=sharing"",""งานกองทุน!F61"")"),1161499.99)</f>
        <v>1161499.99</v>
      </c>
      <c r="K821" s="497">
        <f t="shared" ref="K821:K828" ca="1" si="113">IF(I821&gt;0,J821*100/I821,0)</f>
        <v>118.52040835224906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IFERROR(__xludf.DUMMYFUNCTION("IMPORTRANGE(""https://docs.google.com/spreadsheets/d/19vJNZY_5yjcGF2XGBMNZRCAIB0Kwfpjp8YEOfu-bneM/edit?usp=sharing"",""งานกองทุน!C61"")"),32)</f>
        <v>32</v>
      </c>
      <c r="J822" s="269">
        <f ca="1">IFERROR(__xludf.DUMMYFUNCTION("IMPORTRANGE(""https://docs.google.com/spreadsheets/d/19vJNZY_5yjcGF2XGBMNZRCAIB0Kwfpjp8YEOfu-bneM/edit?usp=sharing"",""งานกองทุน!E61"")"),37)</f>
        <v>37</v>
      </c>
      <c r="K822" s="497">
        <f t="shared" ca="1" si="113"/>
        <v>115.625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69">
        <f ca="1">IFERROR(__xludf.DUMMYFUNCTION("IMPORTRANGE(""https://docs.google.com/spreadsheets/d/19vJNZY_5yjcGF2XGBMNZRCAIB0Kwfpjp8YEOfu-bneM/edit?usp=sharing"",""งานกองทุน!K61"")"),514618.62)</f>
        <v>514618.62</v>
      </c>
      <c r="K823" s="497">
        <f t="shared" ca="1" si="113"/>
        <v>242.08131784564452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IFERROR(__xludf.DUMMYFUNCTION("IMPORTRANGE(""https://docs.google.com/spreadsheets/d/19vJNZY_5yjcGF2XGBMNZRCAIB0Kwfpjp8YEOfu-bneM/edit?usp=sharing"",""งานกองทุน!H61"")"),8)</f>
        <v>8</v>
      </c>
      <c r="J824" s="269">
        <f ca="1">IFERROR(__xludf.DUMMYFUNCTION("IMPORTRANGE(""https://docs.google.com/spreadsheets/d/19vJNZY_5yjcGF2XGBMNZRCAIB0Kwfpjp8YEOfu-bneM/edit?usp=sharing"",""งานกองทุน!J61"")"),13)</f>
        <v>13</v>
      </c>
      <c r="K824" s="497">
        <f t="shared" ca="1" si="113"/>
        <v>162.5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69">
        <f ca="1">IFERROR(__xludf.DUMMYFUNCTION("IMPORTRANGE(""https://docs.google.com/spreadsheets/d/19vJNZY_5yjcGF2XGBMNZRCAIB0Kwfpjp8YEOfu-bneM/edit?usp=sharing"",""งานกองทุน!P61"")"),2333678.37)</f>
        <v>2333678.37</v>
      </c>
      <c r="K825" s="497">
        <f t="shared" ca="1" si="113"/>
        <v>79.740535485159327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IFERROR(__xludf.DUMMYFUNCTION("IMPORTRANGE(""https://docs.google.com/spreadsheets/d/19vJNZY_5yjcGF2XGBMNZRCAIB0Kwfpjp8YEOfu-bneM/edit?usp=sharing"",""งานกองทุน!M61"")"),1916)</f>
        <v>1916</v>
      </c>
      <c r="J826" s="269">
        <f ca="1">IFERROR(__xludf.DUMMYFUNCTION("IMPORTRANGE(""https://docs.google.com/spreadsheets/d/19vJNZY_5yjcGF2XGBMNZRCAIB0Kwfpjp8YEOfu-bneM/edit?usp=sharing"",""งานกองทุน!O61"")"),1945)</f>
        <v>1945</v>
      </c>
      <c r="K826" s="497">
        <f t="shared" ca="1" si="113"/>
        <v>101.51356993736952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IFERROR(__xludf.DUMMYFUNCTION("IMPORTRANGE(""https://docs.google.com/spreadsheets/d/19vJNZY_5yjcGF2XGBMNZRCAIB0Kwfpjp8YEOfu-bneM/edit?usp=sharing"",""งานกองทุน!S61"")"),1080000)</f>
        <v>1080000</v>
      </c>
      <c r="J827" s="269">
        <f ca="1">IFERROR(__xludf.DUMMYFUNCTION("IMPORTRANGE(""https://docs.google.com/spreadsheets/d/19vJNZY_5yjcGF2XGBMNZRCAIB0Kwfpjp8YEOfu-bneM/edit?usp=sharing"",""งานกองทุน!U61"")"),1120000)</f>
        <v>1120000</v>
      </c>
      <c r="K827" s="497">
        <f t="shared" ca="1" si="113"/>
        <v>103.70370370370371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IFERROR(__xludf.DUMMYFUNCTION("IMPORTRANGE(""https://docs.google.com/spreadsheets/d/19vJNZY_5yjcGF2XGBMNZRCAIB0Kwfpjp8YEOfu-bneM/edit?usp=sharing"",""งานกองทุน!T61"")"),40)</f>
        <v>40</v>
      </c>
      <c r="K828" s="502">
        <f t="shared" ca="1" si="113"/>
        <v>95.238095238095241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F81A0-04D5-4A3C-80E2-FCF0D68C0DDC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350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t="shared" ref="L8:N8" ca="1" si="0">L9+L10</f>
        <v>3199725</v>
      </c>
      <c r="M8" s="21">
        <f t="shared" ca="1" si="0"/>
        <v>3171734.86</v>
      </c>
      <c r="N8" s="21">
        <f t="shared" ca="1" si="0"/>
        <v>3171734.86</v>
      </c>
      <c r="O8" s="21">
        <f t="shared" ref="O8:O16" ca="1" si="1">IF(L8&gt;0,N8*100/L8,0)</f>
        <v>99.125232949706614</v>
      </c>
      <c r="P8" s="21">
        <f t="shared" ref="P8:P16" ca="1" si="2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3">L12+L15</f>
        <v>0</v>
      </c>
      <c r="M9" s="29">
        <f t="shared" si="3"/>
        <v>0</v>
      </c>
      <c r="N9" s="29">
        <f t="shared" si="3"/>
        <v>0</v>
      </c>
      <c r="O9" s="29">
        <f t="shared" si="1"/>
        <v>0</v>
      </c>
      <c r="P9" s="29">
        <f t="shared" si="2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3"/>
        <v>3199725</v>
      </c>
      <c r="M10" s="29">
        <f t="shared" ca="1" si="3"/>
        <v>3171734.86</v>
      </c>
      <c r="N10" s="29">
        <f t="shared" ca="1" si="3"/>
        <v>3171734.86</v>
      </c>
      <c r="O10" s="29">
        <f t="shared" ca="1" si="1"/>
        <v>99.125232949706614</v>
      </c>
      <c r="P10" s="29">
        <f t="shared" ca="1" si="2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t="shared" ref="L11:N11" ca="1" si="4">L12+L13</f>
        <v>3048125</v>
      </c>
      <c r="M11" s="497">
        <f t="shared" ca="1" si="4"/>
        <v>3013734.86</v>
      </c>
      <c r="N11" s="497">
        <f t="shared" ca="1" si="4"/>
        <v>3013734.86</v>
      </c>
      <c r="O11" s="497">
        <f t="shared" ca="1" si="1"/>
        <v>98.871760836579867</v>
      </c>
      <c r="P11" s="497">
        <f t="shared" ca="1" si="2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5">L22+L32</f>
        <v>0</v>
      </c>
      <c r="M12" s="92">
        <f t="shared" si="5"/>
        <v>0</v>
      </c>
      <c r="N12" s="92">
        <f t="shared" si="5"/>
        <v>0</v>
      </c>
      <c r="O12" s="92">
        <f t="shared" si="1"/>
        <v>0</v>
      </c>
      <c r="P12" s="92">
        <f t="shared" si="2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5"/>
        <v>3048125</v>
      </c>
      <c r="M13" s="92">
        <f t="shared" ca="1" si="5"/>
        <v>3013734.86</v>
      </c>
      <c r="N13" s="92">
        <f t="shared" ca="1" si="5"/>
        <v>3013734.86</v>
      </c>
      <c r="O13" s="92">
        <f t="shared" ca="1" si="1"/>
        <v>98.871760836579867</v>
      </c>
      <c r="P13" s="92">
        <f t="shared" ca="1" si="2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t="shared" ref="L14:N14" ca="1" si="6">L15+L16</f>
        <v>151600</v>
      </c>
      <c r="M14" s="497">
        <f t="shared" ca="1" si="6"/>
        <v>158000</v>
      </c>
      <c r="N14" s="497">
        <f t="shared" ca="1" si="6"/>
        <v>158000</v>
      </c>
      <c r="O14" s="497">
        <f t="shared" ca="1" si="1"/>
        <v>104.22163588390501</v>
      </c>
      <c r="P14" s="497">
        <f t="shared" ca="1" si="2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7">L25+L35</f>
        <v>0</v>
      </c>
      <c r="M15" s="92">
        <f t="shared" si="7"/>
        <v>0</v>
      </c>
      <c r="N15" s="92">
        <f t="shared" si="7"/>
        <v>0</v>
      </c>
      <c r="O15" s="92">
        <f t="shared" si="1"/>
        <v>0</v>
      </c>
      <c r="P15" s="92">
        <f t="shared" si="2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7"/>
        <v>151600</v>
      </c>
      <c r="M16" s="51">
        <f t="shared" ca="1" si="7"/>
        <v>158000</v>
      </c>
      <c r="N16" s="51">
        <f t="shared" ca="1" si="7"/>
        <v>158000</v>
      </c>
      <c r="O16" s="51">
        <f t="shared" ca="1" si="1"/>
        <v>104.22163588390501</v>
      </c>
      <c r="P16" s="51">
        <f t="shared" ca="1" si="2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t="shared" ref="L18:N18" ca="1" si="8">L19+L20</f>
        <v>2083810</v>
      </c>
      <c r="M18" s="21">
        <f t="shared" ca="1" si="8"/>
        <v>2294741.25</v>
      </c>
      <c r="N18" s="21">
        <f t="shared" ca="1" si="8"/>
        <v>2294741.25</v>
      </c>
      <c r="O18" s="21">
        <f t="shared" ref="O18:O26" ca="1" si="9">IF(L18&gt;0,N18*100/L18,0)</f>
        <v>110.12238399854114</v>
      </c>
      <c r="P18" s="21">
        <f t="shared" ref="P18:P26" ca="1" si="10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11">L22+L25</f>
        <v>0</v>
      </c>
      <c r="M19" s="29">
        <f t="shared" si="11"/>
        <v>0</v>
      </c>
      <c r="N19" s="29">
        <f t="shared" si="11"/>
        <v>0</v>
      </c>
      <c r="O19" s="29">
        <f t="shared" si="9"/>
        <v>0</v>
      </c>
      <c r="P19" s="29">
        <f t="shared" si="10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11"/>
        <v>2083810</v>
      </c>
      <c r="M20" s="29">
        <f t="shared" ca="1" si="11"/>
        <v>2294741.25</v>
      </c>
      <c r="N20" s="29">
        <f t="shared" ca="1" si="11"/>
        <v>2294741.25</v>
      </c>
      <c r="O20" s="29">
        <f t="shared" ca="1" si="9"/>
        <v>110.12238399854114</v>
      </c>
      <c r="P20" s="29">
        <f t="shared" ca="1" si="10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t="shared" ref="L21:N21" ca="1" si="12">L22+L23</f>
        <v>1932210</v>
      </c>
      <c r="M21" s="497">
        <f t="shared" ca="1" si="12"/>
        <v>2136741.25</v>
      </c>
      <c r="N21" s="497">
        <f t="shared" ca="1" si="12"/>
        <v>2136741.25</v>
      </c>
      <c r="O21" s="497">
        <f t="shared" ca="1" si="9"/>
        <v>110.58535304133609</v>
      </c>
      <c r="P21" s="497">
        <f t="shared" ca="1" si="10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13">L45+L57+L70+L92+L123+L136+L153+L185+L169+L265+L281+L302+L319+L332+L349+L393+L406</f>
        <v>0</v>
      </c>
      <c r="M22" s="92">
        <f t="shared" si="13"/>
        <v>0</v>
      </c>
      <c r="N22" s="92">
        <f t="shared" si="13"/>
        <v>0</v>
      </c>
      <c r="O22" s="92">
        <f t="shared" si="9"/>
        <v>0</v>
      </c>
      <c r="P22" s="92">
        <f t="shared" si="10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13"/>
        <v>1932210</v>
      </c>
      <c r="M23" s="92">
        <f t="shared" ca="1" si="13"/>
        <v>2136741.25</v>
      </c>
      <c r="N23" s="92">
        <f t="shared" ca="1" si="13"/>
        <v>2136741.25</v>
      </c>
      <c r="O23" s="92">
        <f t="shared" ca="1" si="9"/>
        <v>110.58535304133609</v>
      </c>
      <c r="P23" s="92">
        <f t="shared" ca="1" si="10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t="shared" ref="L24:N24" ca="1" si="14">L25+L26</f>
        <v>151600</v>
      </c>
      <c r="M24" s="497">
        <f t="shared" ca="1" si="14"/>
        <v>158000</v>
      </c>
      <c r="N24" s="497">
        <f t="shared" ca="1" si="14"/>
        <v>158000</v>
      </c>
      <c r="O24" s="497">
        <f t="shared" ca="1" si="9"/>
        <v>104.22163588390501</v>
      </c>
      <c r="P24" s="497">
        <f t="shared" ca="1" si="10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15">L48+L60+L73+L95+L126+L139+L156+L188+L172+L268+L284+L305+L322+L335+L352+L396+L409</f>
        <v>0</v>
      </c>
      <c r="M25" s="92">
        <f t="shared" si="15"/>
        <v>0</v>
      </c>
      <c r="N25" s="92">
        <f t="shared" si="15"/>
        <v>0</v>
      </c>
      <c r="O25" s="92">
        <f t="shared" si="9"/>
        <v>0</v>
      </c>
      <c r="P25" s="92">
        <f t="shared" si="10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15"/>
        <v>151600</v>
      </c>
      <c r="M26" s="51">
        <f t="shared" ca="1" si="15"/>
        <v>158000</v>
      </c>
      <c r="N26" s="51">
        <f t="shared" ca="1" si="15"/>
        <v>158000</v>
      </c>
      <c r="O26" s="51">
        <f t="shared" ca="1" si="9"/>
        <v>104.22163588390501</v>
      </c>
      <c r="P26" s="51">
        <f t="shared" ca="1" si="10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t="shared" ref="L28:N28" ca="1" si="16">L29+L30</f>
        <v>1115915</v>
      </c>
      <c r="M28" s="21">
        <f t="shared" ca="1" si="16"/>
        <v>876993.61</v>
      </c>
      <c r="N28" s="21">
        <f t="shared" si="16"/>
        <v>876993.61</v>
      </c>
      <c r="O28" s="21">
        <f t="shared" ref="O28:O37" ca="1" si="17">IF(L28&gt;0,N28*100/L28,0)</f>
        <v>78.589642580304059</v>
      </c>
      <c r="P28" s="21">
        <f t="shared" ref="P28:P37" ca="1" si="18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9">L32+L35</f>
        <v>0</v>
      </c>
      <c r="M29" s="29">
        <f t="shared" si="19"/>
        <v>0</v>
      </c>
      <c r="N29" s="29">
        <f t="shared" si="19"/>
        <v>0</v>
      </c>
      <c r="O29" s="29">
        <f t="shared" si="17"/>
        <v>0</v>
      </c>
      <c r="P29" s="29">
        <f t="shared" si="18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9"/>
        <v>1115915</v>
      </c>
      <c r="M30" s="29">
        <f t="shared" ca="1" si="19"/>
        <v>876993.61</v>
      </c>
      <c r="N30" s="29">
        <f t="shared" si="19"/>
        <v>876993.61</v>
      </c>
      <c r="O30" s="29">
        <f t="shared" ca="1" si="17"/>
        <v>78.589642580304059</v>
      </c>
      <c r="P30" s="29">
        <f t="shared" ca="1" si="18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t="shared" ref="L31:N31" ca="1" si="20">L32+L33</f>
        <v>1115915</v>
      </c>
      <c r="M31" s="497">
        <f t="shared" ca="1" si="20"/>
        <v>876993.61</v>
      </c>
      <c r="N31" s="497">
        <f t="shared" si="20"/>
        <v>876993.61</v>
      </c>
      <c r="O31" s="497">
        <f t="shared" ca="1" si="17"/>
        <v>78.589642580304059</v>
      </c>
      <c r="P31" s="497">
        <f t="shared" ca="1" si="18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21">L423+L448+L471+L506+L527+L548+L633+L659+L689+L741+L758+L774+L790+L809</f>
        <v>0</v>
      </c>
      <c r="M32" s="92">
        <f t="shared" si="21"/>
        <v>0</v>
      </c>
      <c r="N32" s="92">
        <f t="shared" si="21"/>
        <v>0</v>
      </c>
      <c r="O32" s="92">
        <f t="shared" si="17"/>
        <v>0</v>
      </c>
      <c r="P32" s="92">
        <f t="shared" si="18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21"/>
        <v>1115915</v>
      </c>
      <c r="M33" s="92">
        <f t="shared" ca="1" si="21"/>
        <v>876993.61</v>
      </c>
      <c r="N33" s="92">
        <f t="shared" si="21"/>
        <v>876993.61</v>
      </c>
      <c r="O33" s="92">
        <f t="shared" ca="1" si="17"/>
        <v>78.589642580304059</v>
      </c>
      <c r="P33" s="92">
        <f t="shared" ca="1" si="18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23">L430+L455+L478+L513+L534+L556+L640+L666+L696+L748+L765+L781+L797+L816</f>
        <v>0</v>
      </c>
      <c r="M35" s="92">
        <f t="shared" si="23"/>
        <v>0</v>
      </c>
      <c r="N35" s="92">
        <f t="shared" si="23"/>
        <v>0</v>
      </c>
      <c r="O35" s="92">
        <f t="shared" si="17"/>
        <v>0</v>
      </c>
      <c r="P35" s="92">
        <f t="shared" si="18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23"/>
        <v>0</v>
      </c>
      <c r="M36" s="51">
        <f t="shared" si="23"/>
        <v>0</v>
      </c>
      <c r="N36" s="51">
        <f t="shared" si="23"/>
        <v>0</v>
      </c>
      <c r="O36" s="51">
        <f t="shared" ca="1" si="17"/>
        <v>0</v>
      </c>
      <c r="P36" s="51">
        <f t="shared" si="18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t="shared" ref="L37:N37" ca="1" si="24">L41+L53+L66+L88+L119+L132+L149+L165+L181+L261+L277+L298+L315+L328+L345+L389+L402</f>
        <v>2083810</v>
      </c>
      <c r="M37" s="58">
        <f t="shared" ca="1" si="24"/>
        <v>2294741.25</v>
      </c>
      <c r="N37" s="58">
        <f t="shared" ca="1" si="24"/>
        <v>2294741.25</v>
      </c>
      <c r="O37" s="58">
        <f t="shared" ca="1" si="17"/>
        <v>110.12238399854114</v>
      </c>
      <c r="P37" s="58">
        <f t="shared" ca="1" si="18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t="shared" ref="L41:N41" ca="1" si="25">L42+L43</f>
        <v>284900</v>
      </c>
      <c r="M41" s="84">
        <f t="shared" ca="1" si="25"/>
        <v>367232</v>
      </c>
      <c r="N41" s="84">
        <f t="shared" ca="1" si="25"/>
        <v>367232</v>
      </c>
      <c r="O41" s="84">
        <f t="shared" ref="O41:O49" ca="1" si="26">IF(L41&gt;0,N41*100/L41,0)</f>
        <v>128.8985608985609</v>
      </c>
      <c r="P41" s="84">
        <f t="shared" ref="P41:P49" ca="1" si="27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28">L45+L48</f>
        <v>0</v>
      </c>
      <c r="M42" s="91">
        <f t="shared" si="28"/>
        <v>0</v>
      </c>
      <c r="N42" s="91">
        <f t="shared" si="28"/>
        <v>0</v>
      </c>
      <c r="O42" s="91">
        <f t="shared" si="26"/>
        <v>0</v>
      </c>
      <c r="P42" s="91">
        <f t="shared" si="27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28"/>
        <v>284900</v>
      </c>
      <c r="M43" s="91">
        <f t="shared" ca="1" si="28"/>
        <v>367232</v>
      </c>
      <c r="N43" s="91">
        <f t="shared" ca="1" si="28"/>
        <v>367232</v>
      </c>
      <c r="O43" s="91">
        <f t="shared" ca="1" si="26"/>
        <v>128.8985608985609</v>
      </c>
      <c r="P43" s="91">
        <f t="shared" ca="1" si="27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t="shared" ref="L44:N44" ca="1" si="29">L45+L46</f>
        <v>284900</v>
      </c>
      <c r="M44" s="497">
        <f t="shared" ca="1" si="29"/>
        <v>367232</v>
      </c>
      <c r="N44" s="497">
        <f t="shared" ca="1" si="29"/>
        <v>367232</v>
      </c>
      <c r="O44" s="497">
        <f t="shared" ca="1" si="26"/>
        <v>128.8985608985609</v>
      </c>
      <c r="P44" s="497">
        <f t="shared" ca="1" si="27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26"/>
        <v>0</v>
      </c>
      <c r="P45" s="92">
        <f t="shared" si="27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IFERROR(__xludf.DUMMYFUNCTION("IMPORTRANGE(""https://docs.google.com/spreadsheets/d/1MeEWN-I1oV_STSDYn1IFDPWt_1FKiwhDph83XaGc0o0/edit?usp=sharing"",""งบพรบ!M62"")"),284900)</f>
        <v>284900</v>
      </c>
      <c r="M46" s="92">
        <f ca="1">IFERROR(__xludf.DUMMYFUNCTION("IMPORTRANGE(""https://docs.google.com/spreadsheets/d/1MeEWN-I1oV_STSDYn1IFDPWt_1FKiwhDph83XaGc0o0/edit?usp=sharing"",""งบพรบ!R62"")"),367232)</f>
        <v>367232</v>
      </c>
      <c r="N46" s="92">
        <f ca="1">IFERROR(__xludf.DUMMYFUNCTION("IMPORTRANGE(""https://docs.google.com/spreadsheets/d/1MeEWN-I1oV_STSDYn1IFDPWt_1FKiwhDph83XaGc0o0/edit?usp=sharing"",""งบพรบ!T62"")"),367232)</f>
        <v>367232</v>
      </c>
      <c r="O46" s="92">
        <f t="shared" ca="1" si="26"/>
        <v>128.8985608985609</v>
      </c>
      <c r="P46" s="92">
        <f t="shared" ca="1" si="27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26"/>
        <v>0</v>
      </c>
      <c r="P48" s="92">
        <f t="shared" si="27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IFERROR(__xludf.DUMMYFUNCTION("IMPORTRANGE(""https://docs.google.com/spreadsheets/d/1MeEWN-I1oV_STSDYn1IFDPWt_1FKiwhDph83XaGc0o0/edit?usp=sharing"",""งบพรบ!P62"")"),0)</f>
        <v>0</v>
      </c>
      <c r="M49" s="51">
        <f ca="1">IFERROR(__xludf.DUMMYFUNCTION("IMPORTRANGE(""https://docs.google.com/spreadsheets/d/1MeEWN-I1oV_STSDYn1IFDPWt_1FKiwhDph83XaGc0o0/edit?usp=sharing"",""งบพรบ!S62"")"),0)</f>
        <v>0</v>
      </c>
      <c r="N49" s="51">
        <f ca="1">IFERROR(__xludf.DUMMYFUNCTION("IMPORTRANGE(""https://docs.google.com/spreadsheets/d/1MeEWN-I1oV_STSDYn1IFDPWt_1FKiwhDph83XaGc0o0/edit?usp=sharing"",""งบพรบ!U62"")"),0)</f>
        <v>0</v>
      </c>
      <c r="O49" s="51">
        <f t="shared" ca="1" si="26"/>
        <v>0</v>
      </c>
      <c r="P49" s="51">
        <f t="shared" ca="1" si="27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t="shared" ref="L53:N53" ca="1" si="31">L54+L55</f>
        <v>577900</v>
      </c>
      <c r="M53" s="115">
        <f t="shared" ca="1" si="31"/>
        <v>628929.25</v>
      </c>
      <c r="N53" s="115">
        <f t="shared" ca="1" si="31"/>
        <v>628929.25</v>
      </c>
      <c r="O53" s="115">
        <f t="shared" ref="O53:O61" ca="1" si="32">IF(L53&gt;0,N53*100/L53,0)</f>
        <v>108.8301176674165</v>
      </c>
      <c r="P53" s="115">
        <f t="shared" ref="P53:P61" ca="1" si="33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34">L57+L60</f>
        <v>0</v>
      </c>
      <c r="M54" s="122">
        <f t="shared" si="34"/>
        <v>0</v>
      </c>
      <c r="N54" s="122">
        <f t="shared" si="34"/>
        <v>0</v>
      </c>
      <c r="O54" s="122">
        <f t="shared" si="32"/>
        <v>0</v>
      </c>
      <c r="P54" s="122">
        <f t="shared" si="33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34"/>
        <v>577900</v>
      </c>
      <c r="M55" s="122">
        <f t="shared" ca="1" si="34"/>
        <v>628929.25</v>
      </c>
      <c r="N55" s="122">
        <f t="shared" ca="1" si="34"/>
        <v>628929.25</v>
      </c>
      <c r="O55" s="122">
        <f t="shared" ca="1" si="32"/>
        <v>108.8301176674165</v>
      </c>
      <c r="P55" s="122">
        <f t="shared" ca="1" si="33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t="shared" ref="L56:N56" ca="1" si="35">L57+L58</f>
        <v>577900</v>
      </c>
      <c r="M56" s="497">
        <f t="shared" ca="1" si="35"/>
        <v>622529.25</v>
      </c>
      <c r="N56" s="497">
        <f t="shared" ca="1" si="35"/>
        <v>622529.25</v>
      </c>
      <c r="O56" s="497">
        <f t="shared" ca="1" si="32"/>
        <v>107.72265962969372</v>
      </c>
      <c r="P56" s="497">
        <f t="shared" ca="1" si="33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32"/>
        <v>0</v>
      </c>
      <c r="P57" s="92">
        <f t="shared" si="33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IFERROR(__xludf.DUMMYFUNCTION("IMPORTRANGE(""https://docs.google.com/spreadsheets/d/1MeEWN-I1oV_STSDYn1IFDPWt_1FKiwhDph83XaGc0o0/edit?usp=sharing"",""งบพรบ!W62"")"),577900)</f>
        <v>577900</v>
      </c>
      <c r="M58" s="92">
        <f ca="1">IFERROR(__xludf.DUMMYFUNCTION("IMPORTRANGE(""https://docs.google.com/spreadsheets/d/1MeEWN-I1oV_STSDYn1IFDPWt_1FKiwhDph83XaGc0o0/edit?usp=sharing"",""งบพรบ!AB62"")"),622529.25)</f>
        <v>622529.25</v>
      </c>
      <c r="N58" s="92">
        <f ca="1">IFERROR(__xludf.DUMMYFUNCTION("IMPORTRANGE(""https://docs.google.com/spreadsheets/d/1MeEWN-I1oV_STSDYn1IFDPWt_1FKiwhDph83XaGc0o0/edit?usp=sharing"",""งบพรบ!AD62"")"),622529.25)</f>
        <v>622529.25</v>
      </c>
      <c r="O58" s="92">
        <f t="shared" ca="1" si="32"/>
        <v>107.72265962969372</v>
      </c>
      <c r="P58" s="92">
        <f t="shared" ca="1" si="33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6400</v>
      </c>
      <c r="N59" s="497">
        <f t="shared" ca="1" si="36"/>
        <v>6400</v>
      </c>
      <c r="O59" s="497">
        <f t="shared" ca="1" si="32"/>
        <v>0</v>
      </c>
      <c r="P59" s="497">
        <f t="shared" ca="1" si="33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32"/>
        <v>0</v>
      </c>
      <c r="P60" s="92">
        <f t="shared" si="33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IFERROR(__xludf.DUMMYFUNCTION("IMPORTRANGE(""https://docs.google.com/spreadsheets/d/1MeEWN-I1oV_STSDYn1IFDPWt_1FKiwhDph83XaGc0o0/edit?usp=sharing"",""งบพรบ!Z62"")"),0)</f>
        <v>0</v>
      </c>
      <c r="M61" s="51">
        <f ca="1">IFERROR(__xludf.DUMMYFUNCTION("IMPORTRANGE(""https://docs.google.com/spreadsheets/d/1MeEWN-I1oV_STSDYn1IFDPWt_1FKiwhDph83XaGc0o0/edit?usp=sharing"",""งบพรบ!AC62"")"),6400)</f>
        <v>6400</v>
      </c>
      <c r="N61" s="51">
        <f ca="1">IFERROR(__xludf.DUMMYFUNCTION("IMPORTRANGE(""https://docs.google.com/spreadsheets/d/1MeEWN-I1oV_STSDYn1IFDPWt_1FKiwhDph83XaGc0o0/edit?usp=sharing"",""งบพรบ!AE62"")"),6400)</f>
        <v>6400</v>
      </c>
      <c r="O61" s="51">
        <f t="shared" ca="1" si="32"/>
        <v>0</v>
      </c>
      <c r="P61" s="51">
        <f t="shared" ca="1" si="33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t="shared" ref="I64:J65" ca="1" si="37">I76</f>
        <v>0</v>
      </c>
      <c r="J64" s="143">
        <f t="shared" si="37"/>
        <v>0</v>
      </c>
      <c r="K64" s="144">
        <f t="shared" ref="K64:K65" ca="1" si="38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t="shared" ca="1" si="37"/>
        <v>0</v>
      </c>
      <c r="J65" s="143">
        <f t="shared" si="37"/>
        <v>0</v>
      </c>
      <c r="K65" s="144">
        <f t="shared" ca="1" si="38"/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t="shared" ref="L66:N66" ca="1" si="39">L67+L68</f>
        <v>0</v>
      </c>
      <c r="M66" s="154">
        <f t="shared" ca="1" si="39"/>
        <v>0</v>
      </c>
      <c r="N66" s="154">
        <f t="shared" ca="1" si="39"/>
        <v>0</v>
      </c>
      <c r="O66" s="154">
        <f t="shared" ref="O66:O74" ca="1" si="40">IF(L66&gt;0,N66*100/L66,0)</f>
        <v>0</v>
      </c>
      <c r="P66" s="154">
        <f t="shared" ref="P66:P74" ca="1" si="41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42">L70+L73</f>
        <v>0</v>
      </c>
      <c r="M67" s="92">
        <f t="shared" si="42"/>
        <v>0</v>
      </c>
      <c r="N67" s="92">
        <f t="shared" si="42"/>
        <v>0</v>
      </c>
      <c r="O67" s="92">
        <f t="shared" si="40"/>
        <v>0</v>
      </c>
      <c r="P67" s="92">
        <f t="shared" si="41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42"/>
        <v>0</v>
      </c>
      <c r="M68" s="92">
        <f t="shared" ca="1" si="42"/>
        <v>0</v>
      </c>
      <c r="N68" s="92">
        <f t="shared" ca="1" si="42"/>
        <v>0</v>
      </c>
      <c r="O68" s="92">
        <f t="shared" ca="1" si="40"/>
        <v>0</v>
      </c>
      <c r="P68" s="92">
        <f t="shared" ca="1" si="41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40"/>
        <v>0</v>
      </c>
      <c r="P70" s="92">
        <f t="shared" si="41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IFERROR(__xludf.DUMMYFUNCTION("IMPORTRANGE(""https://docs.google.com/spreadsheets/d/1MeEWN-I1oV_STSDYn1IFDPWt_1FKiwhDph83XaGc0o0/edit?usp=sharing"",""งบพรบ!AG62"")"),0)</f>
        <v>0</v>
      </c>
      <c r="M71" s="92">
        <f ca="1">IFERROR(__xludf.DUMMYFUNCTION("IMPORTRANGE(""https://docs.google.com/spreadsheets/d/1MeEWN-I1oV_STSDYn1IFDPWt_1FKiwhDph83XaGc0o0/edit?usp=sharing"",""งบพรบ!AL62"")"),0)</f>
        <v>0</v>
      </c>
      <c r="N71" s="92">
        <f ca="1">IFERROR(__xludf.DUMMYFUNCTION("IMPORTRANGE(""https://docs.google.com/spreadsheets/d/1MeEWN-I1oV_STSDYn1IFDPWt_1FKiwhDph83XaGc0o0/edit?usp=sharing"",""งบพรบ!AN62"")"),0)</f>
        <v>0</v>
      </c>
      <c r="O71" s="92">
        <f t="shared" ca="1" si="40"/>
        <v>0</v>
      </c>
      <c r="P71" s="92">
        <f t="shared" ca="1" si="41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40"/>
        <v>0</v>
      </c>
      <c r="P73" s="92">
        <f t="shared" si="41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IFERROR(__xludf.DUMMYFUNCTION("IMPORTRANGE(""https://docs.google.com/spreadsheets/d/1MeEWN-I1oV_STSDYn1IFDPWt_1FKiwhDph83XaGc0o0/edit?usp=sharing"",""งบพรบ!AJ62"")"),0)</f>
        <v>0</v>
      </c>
      <c r="M74" s="92">
        <f ca="1">IFERROR(__xludf.DUMMYFUNCTION("IMPORTRANGE(""https://docs.google.com/spreadsheets/d/1MeEWN-I1oV_STSDYn1IFDPWt_1FKiwhDph83XaGc0o0/edit?usp=sharing"",""งบพรบ!AM62"")"),0)</f>
        <v>0</v>
      </c>
      <c r="N74" s="92">
        <f ca="1">IFERROR(__xludf.DUMMYFUNCTION("IMPORTRANGE(""https://docs.google.com/spreadsheets/d/1MeEWN-I1oV_STSDYn1IFDPWt_1FKiwhDph83XaGc0o0/edit?usp=sharing"",""งบพรบ!AO62"")"),0)</f>
        <v>0</v>
      </c>
      <c r="O74" s="92">
        <f t="shared" ca="1" si="40"/>
        <v>0</v>
      </c>
      <c r="P74" s="92">
        <f t="shared" ca="1" si="41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t="shared" ref="I76:J77" ca="1" si="45">I78+I80+I82</f>
        <v>0</v>
      </c>
      <c r="J76" s="269">
        <f t="shared" si="45"/>
        <v>0</v>
      </c>
      <c r="K76" s="162">
        <f t="shared" ref="K76:K84" ca="1" si="46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t="shared" ca="1" si="45"/>
        <v>0</v>
      </c>
      <c r="J77" s="269">
        <f t="shared" si="45"/>
        <v>0</v>
      </c>
      <c r="K77" s="162">
        <f t="shared" ca="1" si="46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IFERROR(__xludf.DUMMYFUNCTION("IMPORTRANGE(""https://docs.google.com/spreadsheets/d/1QqKyyYR6Q21VydFLVH3TRQUabQu_ym0Zz7PgGX0-kHA/edit?usp=sharing"",""แผน!H62"")"),0)</f>
        <v>0</v>
      </c>
      <c r="J78" s="214">
        <v>0</v>
      </c>
      <c r="K78" s="162">
        <f t="shared" ca="1" si="46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IFERROR(__xludf.DUMMYFUNCTION("IMPORTRANGE(""https://docs.google.com/spreadsheets/d/1QqKyyYR6Q21VydFLVH3TRQUabQu_ym0Zz7PgGX0-kHA/edit?usp=sharing"",""แผน!I62"")"),0)</f>
        <v>0</v>
      </c>
      <c r="J79" s="214">
        <v>0</v>
      </c>
      <c r="K79" s="162">
        <f t="shared" ca="1" si="46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IFERROR(__xludf.DUMMYFUNCTION("IMPORTRANGE(""https://docs.google.com/spreadsheets/d/1QqKyyYR6Q21VydFLVH3TRQUabQu_ym0Zz7PgGX0-kHA/edit?usp=sharing"",""แผน!F62"")"),0)</f>
        <v>0</v>
      </c>
      <c r="J80" s="214">
        <v>0</v>
      </c>
      <c r="K80" s="162">
        <f t="shared" ca="1" si="46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IFERROR(__xludf.DUMMYFUNCTION("IMPORTRANGE(""https://docs.google.com/spreadsheets/d/1QqKyyYR6Q21VydFLVH3TRQUabQu_ym0Zz7PgGX0-kHA/edit?usp=sharing"",""แผน!G62"")"),0)</f>
        <v>0</v>
      </c>
      <c r="J81" s="214">
        <v>0</v>
      </c>
      <c r="K81" s="162">
        <f t="shared" ca="1" si="46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IFERROR(__xludf.DUMMYFUNCTION("IMPORTRANGE(""https://docs.google.com/spreadsheets/d/1QqKyyYR6Q21VydFLVH3TRQUabQu_ym0Zz7PgGX0-kHA/edit?usp=sharing"",""แผน!D62"")"),0)</f>
        <v>0</v>
      </c>
      <c r="J82" s="214">
        <v>0</v>
      </c>
      <c r="K82" s="162">
        <f t="shared" ca="1" si="46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IFERROR(__xludf.DUMMYFUNCTION("IMPORTRANGE(""https://docs.google.com/spreadsheets/d/1QqKyyYR6Q21VydFLVH3TRQUabQu_ym0Zz7PgGX0-kHA/edit?usp=sharing"",""แผน!E62"")"),0)</f>
        <v>0</v>
      </c>
      <c r="J83" s="214">
        <v>0</v>
      </c>
      <c r="K83" s="162">
        <f t="shared" ca="1" si="46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IFERROR(__xludf.DUMMYFUNCTION("IMPORTRANGE(""https://docs.google.com/spreadsheets/d/1QqKyyYR6Q21VydFLVH3TRQUabQu_ym0Zz7PgGX0-kHA/edit?usp=sharing"",""แผน!J62"")"),0)</f>
        <v>0</v>
      </c>
      <c r="J84" s="214">
        <v>0</v>
      </c>
      <c r="K84" s="162">
        <f t="shared" ca="1" si="46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t="shared" ref="I86:J87" ca="1" si="47">I98</f>
        <v>0</v>
      </c>
      <c r="J86" s="143">
        <f t="shared" si="47"/>
        <v>0</v>
      </c>
      <c r="K86" s="144">
        <f t="shared" ref="K86:K87" ca="1" si="48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t="shared" ca="1" si="47"/>
        <v>0</v>
      </c>
      <c r="J87" s="143">
        <f t="shared" si="47"/>
        <v>0</v>
      </c>
      <c r="K87" s="144">
        <f t="shared" ca="1" si="48"/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t="shared" ref="L88:N88" ca="1" si="49">L89+L90</f>
        <v>174200</v>
      </c>
      <c r="M88" s="154">
        <f t="shared" ca="1" si="49"/>
        <v>174200</v>
      </c>
      <c r="N88" s="154">
        <f t="shared" ca="1" si="49"/>
        <v>174200</v>
      </c>
      <c r="O88" s="154">
        <f t="shared" ref="O88:O96" ca="1" si="50">IF(L88&gt;0,N88*100/L88,0)</f>
        <v>100</v>
      </c>
      <c r="P88" s="154">
        <f t="shared" ref="P88:P96" ca="1" si="51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52">L92+L95</f>
        <v>0</v>
      </c>
      <c r="M89" s="92">
        <f t="shared" si="52"/>
        <v>0</v>
      </c>
      <c r="N89" s="92">
        <f t="shared" si="52"/>
        <v>0</v>
      </c>
      <c r="O89" s="92">
        <f t="shared" si="50"/>
        <v>0</v>
      </c>
      <c r="P89" s="92">
        <f t="shared" si="51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52"/>
        <v>174200</v>
      </c>
      <c r="M90" s="92">
        <f t="shared" ca="1" si="52"/>
        <v>174200</v>
      </c>
      <c r="N90" s="92">
        <f t="shared" ca="1" si="52"/>
        <v>174200</v>
      </c>
      <c r="O90" s="92">
        <f t="shared" ca="1" si="50"/>
        <v>100</v>
      </c>
      <c r="P90" s="92">
        <f t="shared" ca="1" si="51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t="shared" ref="L91:N91" ca="1" si="53">L92+L93</f>
        <v>174200</v>
      </c>
      <c r="M91" s="497">
        <f t="shared" ca="1" si="53"/>
        <v>174200</v>
      </c>
      <c r="N91" s="497">
        <f t="shared" ca="1" si="53"/>
        <v>174200</v>
      </c>
      <c r="O91" s="497">
        <f t="shared" ca="1" si="50"/>
        <v>100</v>
      </c>
      <c r="P91" s="497">
        <f t="shared" ca="1" si="51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50"/>
        <v>0</v>
      </c>
      <c r="P92" s="92">
        <f t="shared" si="51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IFERROR(__xludf.DUMMYFUNCTION("IMPORTRANGE(""https://docs.google.com/spreadsheets/d/1MeEWN-I1oV_STSDYn1IFDPWt_1FKiwhDph83XaGc0o0/edit?usp=sharing"",""งบพรบ!AQ62"")"),174200)</f>
        <v>174200</v>
      </c>
      <c r="M93" s="92">
        <f ca="1">IFERROR(__xludf.DUMMYFUNCTION("IMPORTRANGE(""https://docs.google.com/spreadsheets/d/1MeEWN-I1oV_STSDYn1IFDPWt_1FKiwhDph83XaGc0o0/edit?usp=sharing"",""งบพรบ!AV62"")"),174200)</f>
        <v>174200</v>
      </c>
      <c r="N93" s="92">
        <f ca="1">IFERROR(__xludf.DUMMYFUNCTION("IMPORTRANGE(""https://docs.google.com/spreadsheets/d/1MeEWN-I1oV_STSDYn1IFDPWt_1FKiwhDph83XaGc0o0/edit?usp=sharing"",""งบพรบ!AX62"")"),174200)</f>
        <v>174200</v>
      </c>
      <c r="O93" s="92">
        <f t="shared" ca="1" si="50"/>
        <v>100</v>
      </c>
      <c r="P93" s="92">
        <f t="shared" ca="1" si="51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50"/>
        <v>0</v>
      </c>
      <c r="P95" s="92">
        <f t="shared" si="51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IFERROR(__xludf.DUMMYFUNCTION("IMPORTRANGE(""https://docs.google.com/spreadsheets/d/1MeEWN-I1oV_STSDYn1IFDPWt_1FKiwhDph83XaGc0o0/edit?usp=sharing"",""งบพรบ!AT62"")"),0)</f>
        <v>0</v>
      </c>
      <c r="M96" s="92">
        <f ca="1">IFERROR(__xludf.DUMMYFUNCTION("IMPORTRANGE(""https://docs.google.com/spreadsheets/d/1MeEWN-I1oV_STSDYn1IFDPWt_1FKiwhDph83XaGc0o0/edit?usp=sharing"",""งบพรบ!AW62"")"),0)</f>
        <v>0</v>
      </c>
      <c r="N96" s="92">
        <f ca="1">IFERROR(__xludf.DUMMYFUNCTION("IMPORTRANGE(""https://docs.google.com/spreadsheets/d/1MeEWN-I1oV_STSDYn1IFDPWt_1FKiwhDph83XaGc0o0/edit?usp=sharing"",""งบพรบ!AY62"")"),0)</f>
        <v>0</v>
      </c>
      <c r="O96" s="92">
        <f t="shared" ca="1" si="50"/>
        <v>0</v>
      </c>
      <c r="P96" s="92">
        <f t="shared" ca="1" si="51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IFERROR(__xludf.DUMMYFUNCTION("IMPORTRANGE(""https://docs.google.com/spreadsheets/d/1QqKyyYR6Q21VydFLVH3TRQUabQu_ym0Zz7PgGX0-kHA/edit?usp=sharing"",""แผน!K62"")"),0)</f>
        <v>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IFERROR(__xludf.DUMMYFUNCTION("IMPORTRANGE(""https://docs.google.com/spreadsheets/d/1QqKyyYR6Q21VydFLVH3TRQUabQu_ym0Zz7PgGX0-kHA/edit?usp=sharing"",""แผน!L62"")"),0)</f>
        <v>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IFERROR(__xludf.DUMMYFUNCTION("IMPORTRANGE(""https://docs.google.com/spreadsheets/d/1QqKyyYR6Q21VydFLVH3TRQUabQu_ym0Zz7PgGX0-kHA/edit?usp=sharing"",""แผน!M62"")"),1)</f>
        <v>1</v>
      </c>
      <c r="J100" s="269">
        <f>J107+J110</f>
        <v>1</v>
      </c>
      <c r="K100" s="497">
        <f t="shared" ca="1" si="55"/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IFERROR(__xludf.DUMMYFUNCTION("IMPORTRANGE(""https://docs.google.com/spreadsheets/d/1QqKyyYR6Q21VydFLVH3TRQUabQu_ym0Zz7PgGX0-kHA/edit?usp=sharing"",""แผน!N62"")"),0)</f>
        <v>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IFERROR(__xludf.DUMMYFUNCTION("IMPORTRANGE(""https://docs.google.com/spreadsheets/d/1QqKyyYR6Q21VydFLVH3TRQUabQu_ym0Zz7PgGX0-kHA/edit?usp=sharing"",""แผน!O62"")"),0)</f>
        <v>0</v>
      </c>
      <c r="J103" s="214">
        <v>0</v>
      </c>
      <c r="K103" s="497">
        <f t="shared" ca="1" si="56"/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IFERROR(__xludf.DUMMYFUNCTION("IMPORTRANGE(""https://docs.google.com/spreadsheets/d/1QqKyyYR6Q21VydFLVH3TRQUabQu_ym0Zz7PgGX0-kHA/edit?usp=sharing"",""แผน!O62"")"),0)</f>
        <v>0</v>
      </c>
      <c r="J104" s="214">
        <v>0</v>
      </c>
      <c r="K104" s="497">
        <f t="shared" ca="1" si="56"/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IFERROR(__xludf.DUMMYFUNCTION("IMPORTRANGE(""https://docs.google.com/spreadsheets/d/1QqKyyYR6Q21VydFLVH3TRQUabQu_ym0Zz7PgGX0-kHA/edit?usp=sharing"",""แผน!P62"")"),0)</f>
        <v>0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IFERROR(__xludf.DUMMYFUNCTION("IMPORTRANGE(""https://docs.google.com/spreadsheets/d/1QqKyyYR6Q21VydFLVH3TRQUabQu_ym0Zz7PgGX0-kHA/edit?usp=sharing"",""แผน!P62"")"),0)</f>
        <v>0</v>
      </c>
      <c r="J107" s="214">
        <v>0</v>
      </c>
      <c r="K107" s="497">
        <f t="shared" ca="1" si="57"/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IFERROR(__xludf.DUMMYFUNCTION("IMPORTRANGE(""https://docs.google.com/spreadsheets/d/1QqKyyYR6Q21VydFLVH3TRQUabQu_ym0Zz7PgGX0-kHA/edit?usp=sharing"",""แผน!Q62"")"),1)</f>
        <v>1</v>
      </c>
      <c r="J109" s="214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IFERROR(__xludf.DUMMYFUNCTION("IMPORTRANGE(""https://docs.google.com/spreadsheets/d/1QqKyyYR6Q21VydFLVH3TRQUabQu_ym0Zz7PgGX0-kHA/edit?usp=sharing"",""แผน!Q62"")"),1)</f>
        <v>1</v>
      </c>
      <c r="J110" s="214">
        <v>1</v>
      </c>
      <c r="K110" s="497">
        <f t="shared" ca="1" si="5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4">
        <f t="shared" ca="1" si="5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t="shared" ref="I112:J112" ca="1" si="59">I115+I116</f>
        <v>1</v>
      </c>
      <c r="J112" s="676">
        <f t="shared" si="59"/>
        <v>1</v>
      </c>
      <c r="K112" s="194">
        <f t="shared" ca="1" si="5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IFERROR(__xludf.DUMMYFUNCTION("IMPORTRANGE(""https://docs.google.com/spreadsheets/d/1QqKyyYR6Q21VydFLVH3TRQUabQu_ym0Zz7PgGX0-kHA/edit?usp=sharing"",""แผน!R62"")"),0)</f>
        <v>0</v>
      </c>
      <c r="J113" s="214">
        <v>0</v>
      </c>
      <c r="K113" s="497">
        <f t="shared" ca="1" si="5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IFERROR(__xludf.DUMMYFUNCTION("IMPORTRANGE(""https://docs.google.com/spreadsheets/d/1QqKyyYR6Q21VydFLVH3TRQUabQu_ym0Zz7PgGX0-kHA/edit?usp=sharing"",""แผน!R62"")"),0)</f>
        <v>0</v>
      </c>
      <c r="J114" s="214">
        <v>0</v>
      </c>
      <c r="K114" s="497">
        <f t="shared" ca="1" si="5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IFERROR(__xludf.DUMMYFUNCTION("IMPORTRANGE(""https://docs.google.com/spreadsheets/d/1QqKyyYR6Q21VydFLVH3TRQUabQu_ym0Zz7PgGX0-kHA/edit?usp=sharing"",""แผน!S62"")"),0)</f>
        <v>0</v>
      </c>
      <c r="J115" s="214">
        <v>0</v>
      </c>
      <c r="K115" s="497">
        <f t="shared" ca="1" si="5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IFERROR(__xludf.DUMMYFUNCTION("IMPORTRANGE(""https://docs.google.com/spreadsheets/d/1QqKyyYR6Q21VydFLVH3TRQUabQu_ym0Zz7PgGX0-kHA/edit?usp=sharing"",""แผน!T62"")"),1)</f>
        <v>1</v>
      </c>
      <c r="J116" s="214">
        <v>1</v>
      </c>
      <c r="K116" s="497">
        <f t="shared" ca="1" si="5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t="shared" ref="L119:N119" ca="1" si="60">L120+L121</f>
        <v>0</v>
      </c>
      <c r="M119" s="154">
        <f t="shared" ca="1" si="60"/>
        <v>0</v>
      </c>
      <c r="N119" s="154">
        <f t="shared" ca="1" si="60"/>
        <v>0</v>
      </c>
      <c r="O119" s="154">
        <f t="shared" ref="O119:O127" ca="1" si="61">IF(L119&gt;0,N119*100/L119,0)</f>
        <v>0</v>
      </c>
      <c r="P119" s="154">
        <f t="shared" ref="P119:P127" ca="1" si="62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63">L123+L126</f>
        <v>0</v>
      </c>
      <c r="M120" s="92">
        <f t="shared" si="63"/>
        <v>0</v>
      </c>
      <c r="N120" s="92">
        <f t="shared" si="63"/>
        <v>0</v>
      </c>
      <c r="O120" s="92">
        <f t="shared" si="61"/>
        <v>0</v>
      </c>
      <c r="P120" s="92">
        <f t="shared" si="62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63"/>
        <v>0</v>
      </c>
      <c r="M121" s="92">
        <f t="shared" ca="1" si="63"/>
        <v>0</v>
      </c>
      <c r="N121" s="92">
        <f t="shared" ca="1" si="63"/>
        <v>0</v>
      </c>
      <c r="O121" s="92">
        <f t="shared" ca="1" si="61"/>
        <v>0</v>
      </c>
      <c r="P121" s="92">
        <f t="shared" ca="1" si="62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61"/>
        <v>0</v>
      </c>
      <c r="P123" s="92">
        <f t="shared" si="62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IFERROR(__xludf.DUMMYFUNCTION("IMPORTRANGE(""https://docs.google.com/spreadsheets/d/1MeEWN-I1oV_STSDYn1IFDPWt_1FKiwhDph83XaGc0o0/edit?usp=sharing"",""งบพรบ!BA62"")"),0)</f>
        <v>0</v>
      </c>
      <c r="M124" s="92">
        <f ca="1">IFERROR(__xludf.DUMMYFUNCTION("IMPORTRANGE(""https://docs.google.com/spreadsheets/d/1MeEWN-I1oV_STSDYn1IFDPWt_1FKiwhDph83XaGc0o0/edit?usp=sharing"",""งบพรบ!BF62"")"),0)</f>
        <v>0</v>
      </c>
      <c r="N124" s="92">
        <f ca="1">IFERROR(__xludf.DUMMYFUNCTION("IMPORTRANGE(""https://docs.google.com/spreadsheets/d/1MeEWN-I1oV_STSDYn1IFDPWt_1FKiwhDph83XaGc0o0/edit?usp=sharing"",""งบพรบ!BH62"")"),0)</f>
        <v>0</v>
      </c>
      <c r="O124" s="92">
        <f t="shared" ca="1" si="61"/>
        <v>0</v>
      </c>
      <c r="P124" s="92">
        <f t="shared" ca="1" si="62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61"/>
        <v>0</v>
      </c>
      <c r="P126" s="92">
        <f t="shared" si="62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IFERROR(__xludf.DUMMYFUNCTION("IMPORTRANGE(""https://docs.google.com/spreadsheets/d/1MeEWN-I1oV_STSDYn1IFDPWt_1FKiwhDph83XaGc0o0/edit?usp=sharing"",""งบพรบ!BD62"")"),0)</f>
        <v>0</v>
      </c>
      <c r="M127" s="92">
        <f ca="1">IFERROR(__xludf.DUMMYFUNCTION("IMPORTRANGE(""https://docs.google.com/spreadsheets/d/1MeEWN-I1oV_STSDYn1IFDPWt_1FKiwhDph83XaGc0o0/edit?usp=sharing"",""งบพรบ!BG62"")"),0)</f>
        <v>0</v>
      </c>
      <c r="N127" s="92">
        <f ca="1">IFERROR(__xludf.DUMMYFUNCTION("IMPORTRANGE(""https://docs.google.com/spreadsheets/d/1MeEWN-I1oV_STSDYn1IFDPWt_1FKiwhDph83XaGc0o0/edit?usp=sharing"",""งบพรบ!BI62"")"),0)</f>
        <v>0</v>
      </c>
      <c r="O127" s="92">
        <f t="shared" ca="1" si="61"/>
        <v>0</v>
      </c>
      <c r="P127" s="92">
        <f t="shared" ca="1" si="62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t="shared" ref="I130:J130" ca="1" si="66">I146</f>
        <v>0</v>
      </c>
      <c r="J130" s="143">
        <f t="shared" si="66"/>
        <v>0</v>
      </c>
      <c r="K130" s="144">
        <f t="shared" ref="K130:K131" ca="1" si="67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t="shared" ref="I131:J131" ca="1" si="68">I143</f>
        <v>0</v>
      </c>
      <c r="J131" s="143">
        <f t="shared" ca="1" si="68"/>
        <v>0</v>
      </c>
      <c r="K131" s="144">
        <f t="shared" ca="1" si="67"/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t="shared" ref="L132:N132" ca="1" si="69">L133+L134</f>
        <v>0</v>
      </c>
      <c r="M132" s="154">
        <f t="shared" ca="1" si="69"/>
        <v>0</v>
      </c>
      <c r="N132" s="154">
        <f t="shared" ca="1" si="69"/>
        <v>0</v>
      </c>
      <c r="O132" s="154">
        <f t="shared" ref="O132:O140" ca="1" si="70">IF(L132&gt;0,N132*100/L132,0)</f>
        <v>0</v>
      </c>
      <c r="P132" s="154">
        <f t="shared" ref="P132:P140" ca="1" si="71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72">L136+L139</f>
        <v>0</v>
      </c>
      <c r="M133" s="92">
        <f t="shared" si="72"/>
        <v>0</v>
      </c>
      <c r="N133" s="92">
        <f t="shared" si="72"/>
        <v>0</v>
      </c>
      <c r="O133" s="92">
        <f t="shared" si="70"/>
        <v>0</v>
      </c>
      <c r="P133" s="92">
        <f t="shared" si="71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72"/>
        <v>0</v>
      </c>
      <c r="M134" s="92">
        <f t="shared" ca="1" si="72"/>
        <v>0</v>
      </c>
      <c r="N134" s="92">
        <f t="shared" ca="1" si="72"/>
        <v>0</v>
      </c>
      <c r="O134" s="92">
        <f t="shared" ca="1" si="70"/>
        <v>0</v>
      </c>
      <c r="P134" s="92">
        <f t="shared" ca="1" si="71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70"/>
        <v>0</v>
      </c>
      <c r="P136" s="92">
        <f t="shared" si="71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IFERROR(__xludf.DUMMYFUNCTION("IMPORTRANGE(""https://docs.google.com/spreadsheets/d/1MeEWN-I1oV_STSDYn1IFDPWt_1FKiwhDph83XaGc0o0/edit?usp=sharing"",""งบพรบ!BK62"")"),0)</f>
        <v>0</v>
      </c>
      <c r="M137" s="92">
        <f ca="1">IFERROR(__xludf.DUMMYFUNCTION("IMPORTRANGE(""https://docs.google.com/spreadsheets/d/1MeEWN-I1oV_STSDYn1IFDPWt_1FKiwhDph83XaGc0o0/edit?usp=sharing"",""งบพรบ!BP62"")"),0)</f>
        <v>0</v>
      </c>
      <c r="N137" s="92">
        <f ca="1">IFERROR(__xludf.DUMMYFUNCTION("IMPORTRANGE(""https://docs.google.com/spreadsheets/d/1MeEWN-I1oV_STSDYn1IFDPWt_1FKiwhDph83XaGc0o0/edit?usp=sharing"",""งบพรบ!BR62"")"),0)</f>
        <v>0</v>
      </c>
      <c r="O137" s="92">
        <f t="shared" ca="1" si="70"/>
        <v>0</v>
      </c>
      <c r="P137" s="92">
        <f t="shared" ca="1" si="71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70"/>
        <v>0</v>
      </c>
      <c r="P139" s="92">
        <f t="shared" si="71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IFERROR(__xludf.DUMMYFUNCTION("IMPORTRANGE(""https://docs.google.com/spreadsheets/d/1MeEWN-I1oV_STSDYn1IFDPWt_1FKiwhDph83XaGc0o0/edit?usp=sharing"",""งบพรบ!BN62"")"),0)</f>
        <v>0</v>
      </c>
      <c r="M140" s="92">
        <f ca="1">IFERROR(__xludf.DUMMYFUNCTION("IMPORTRANGE(""https://docs.google.com/spreadsheets/d/1MeEWN-I1oV_STSDYn1IFDPWt_1FKiwhDph83XaGc0o0/edit?usp=sharing"",""งบพรบ!BQ62"")"),0)</f>
        <v>0</v>
      </c>
      <c r="N140" s="92">
        <f ca="1">IFERROR(__xludf.DUMMYFUNCTION("IMPORTRANGE(""https://docs.google.com/spreadsheets/d/1MeEWN-I1oV_STSDYn1IFDPWt_1FKiwhDph83XaGc0o0/edit?usp=sharing"",""งบพรบ!BS62"")"),0)</f>
        <v>0</v>
      </c>
      <c r="O140" s="92">
        <f t="shared" ca="1" si="70"/>
        <v>0</v>
      </c>
      <c r="P140" s="92">
        <f t="shared" ca="1" si="71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IFERROR(__xludf.DUMMYFUNCTION("IMPORTRANGE(""https://docs.google.com/spreadsheets/d/1QqKyyYR6Q21VydFLVH3TRQUabQu_ym0Zz7PgGX0-kHA/edit?usp=sharing"",""แผน!U62"")"),0)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IFERROR(__xludf.DUMMYFUNCTION("IMPORTRANGE(""https://docs.google.com/spreadsheets/d/1QqKyyYR6Q21VydFLVH3TRQUabQu_ym0Zz7PgGX0-kHA/edit?usp=sharing"",""แผน!V62"")"),0)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IFERROR(__xludf.DUMMYFUNCTION("IMPORTRANGE(""https://docs.google.com/spreadsheets/d/1QqKyyYR6Q21VydFLVH3TRQUabQu_ym0Zz7PgGX0-kHA/edit?usp=sharing"",""แผน!W62"")"),0)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t="shared" ref="I148:J148" ca="1" si="76">I159</f>
        <v>20</v>
      </c>
      <c r="J148" s="143">
        <f t="shared" si="76"/>
        <v>21</v>
      </c>
      <c r="K148" s="144">
        <f ca="1">IF(I148&gt;0,J148*100/I148,0)</f>
        <v>105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t="shared" ref="L149:N149" ca="1" si="77">L150+L151</f>
        <v>10000</v>
      </c>
      <c r="M149" s="154">
        <f t="shared" ca="1" si="77"/>
        <v>10000</v>
      </c>
      <c r="N149" s="154">
        <f t="shared" ca="1" si="77"/>
        <v>10000</v>
      </c>
      <c r="O149" s="154">
        <f t="shared" ref="O149:O157" ca="1" si="78">IF(L149&gt;0,N149*100/L149,0)</f>
        <v>100</v>
      </c>
      <c r="P149" s="154">
        <f t="shared" ref="P149:P157" ca="1" si="79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80">L153+L156</f>
        <v>0</v>
      </c>
      <c r="M150" s="92">
        <f t="shared" si="80"/>
        <v>0</v>
      </c>
      <c r="N150" s="92">
        <f t="shared" si="80"/>
        <v>0</v>
      </c>
      <c r="O150" s="92">
        <f t="shared" si="78"/>
        <v>0</v>
      </c>
      <c r="P150" s="92">
        <f t="shared" si="79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80"/>
        <v>10000</v>
      </c>
      <c r="M151" s="92">
        <f t="shared" ca="1" si="80"/>
        <v>10000</v>
      </c>
      <c r="N151" s="92">
        <f t="shared" ca="1" si="80"/>
        <v>10000</v>
      </c>
      <c r="O151" s="92">
        <f t="shared" ca="1" si="78"/>
        <v>100</v>
      </c>
      <c r="P151" s="92">
        <f t="shared" ca="1" si="79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10000</v>
      </c>
      <c r="O152" s="497">
        <f t="shared" ca="1" si="78"/>
        <v>100</v>
      </c>
      <c r="P152" s="497">
        <f t="shared" ca="1" si="79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78"/>
        <v>0</v>
      </c>
      <c r="P153" s="92">
        <f t="shared" si="79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IFERROR(__xludf.DUMMYFUNCTION("IMPORTRANGE(""https://docs.google.com/spreadsheets/d/1MeEWN-I1oV_STSDYn1IFDPWt_1FKiwhDph83XaGc0o0/edit?usp=sharing"",""งบพรบ!BU62"")"),10000)</f>
        <v>10000</v>
      </c>
      <c r="M154" s="92">
        <f ca="1">IFERROR(__xludf.DUMMYFUNCTION("IMPORTRANGE(""https://docs.google.com/spreadsheets/d/1MeEWN-I1oV_STSDYn1IFDPWt_1FKiwhDph83XaGc0o0/edit?usp=sharing"",""งบพรบ!BZ62"")"),10000)</f>
        <v>10000</v>
      </c>
      <c r="N154" s="92">
        <f ca="1">IFERROR(__xludf.DUMMYFUNCTION("IMPORTRANGE(""https://docs.google.com/spreadsheets/d/1MeEWN-I1oV_STSDYn1IFDPWt_1FKiwhDph83XaGc0o0/edit?usp=sharing"",""งบพรบ!CB62"")"),10000)</f>
        <v>10000</v>
      </c>
      <c r="O154" s="92">
        <f t="shared" ca="1" si="78"/>
        <v>100</v>
      </c>
      <c r="P154" s="92">
        <f t="shared" ca="1" si="79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78"/>
        <v>0</v>
      </c>
      <c r="P156" s="92">
        <f t="shared" si="79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IFERROR(__xludf.DUMMYFUNCTION("IMPORTRANGE(""https://docs.google.com/spreadsheets/d/1MeEWN-I1oV_STSDYn1IFDPWt_1FKiwhDph83XaGc0o0/edit?usp=sharing"",""งบพรบ!BX62"")"),0)</f>
        <v>0</v>
      </c>
      <c r="M157" s="92">
        <f ca="1">IFERROR(__xludf.DUMMYFUNCTION("IMPORTRANGE(""https://docs.google.com/spreadsheets/d/1MeEWN-I1oV_STSDYn1IFDPWt_1FKiwhDph83XaGc0o0/edit?usp=sharing"",""งบพรบ!CA62"")"),0)</f>
        <v>0</v>
      </c>
      <c r="N157" s="92">
        <f ca="1">IFERROR(__xludf.DUMMYFUNCTION("IMPORTRANGE(""https://docs.google.com/spreadsheets/d/1MeEWN-I1oV_STSDYn1IFDPWt_1FKiwhDph83XaGc0o0/edit?usp=sharing"",""งบพรบ!CC62"")"),0)</f>
        <v>0</v>
      </c>
      <c r="O157" s="92">
        <f t="shared" ca="1" si="78"/>
        <v>0</v>
      </c>
      <c r="P157" s="92">
        <f t="shared" ca="1" si="79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IFERROR(__xludf.DUMMYFUNCTION("IMPORTRANGE(""https://docs.google.com/spreadsheets/d/1QqKyyYR6Q21VydFLVH3TRQUabQu_ym0Zz7PgGX0-kHA/edit?usp=sharing"",""แผน!X62"")"),20)</f>
        <v>20</v>
      </c>
      <c r="J159" s="214">
        <v>21</v>
      </c>
      <c r="K159" s="497">
        <f ca="1">IF(I159&gt;0,J159*100/I159,0)</f>
        <v>105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t="shared" ref="L165:N165" ca="1" si="84">L166+L167</f>
        <v>21050</v>
      </c>
      <c r="M165" s="154">
        <f t="shared" ca="1" si="84"/>
        <v>48620</v>
      </c>
      <c r="N165" s="154">
        <f t="shared" ca="1" si="84"/>
        <v>48620</v>
      </c>
      <c r="O165" s="154">
        <f t="shared" ref="O165:O173" ca="1" si="85">IF(L165&gt;0,N165*100/L165,0)</f>
        <v>230.97387173396675</v>
      </c>
      <c r="P165" s="154">
        <f t="shared" ref="P165:P173" ca="1" si="86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87">L169+L172</f>
        <v>0</v>
      </c>
      <c r="M166" s="92">
        <f t="shared" si="87"/>
        <v>0</v>
      </c>
      <c r="N166" s="92">
        <f t="shared" si="87"/>
        <v>0</v>
      </c>
      <c r="O166" s="92">
        <f t="shared" si="85"/>
        <v>0</v>
      </c>
      <c r="P166" s="92">
        <f t="shared" si="86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87"/>
        <v>21050</v>
      </c>
      <c r="M167" s="92">
        <f t="shared" ca="1" si="87"/>
        <v>48620</v>
      </c>
      <c r="N167" s="92">
        <f t="shared" ca="1" si="87"/>
        <v>48620</v>
      </c>
      <c r="O167" s="92">
        <f t="shared" ca="1" si="85"/>
        <v>230.97387173396675</v>
      </c>
      <c r="P167" s="92">
        <f t="shared" ca="1" si="86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t="shared" ref="L168:N168" ca="1" si="88">L169+L170</f>
        <v>21050</v>
      </c>
      <c r="M168" s="497">
        <f t="shared" ca="1" si="88"/>
        <v>48620</v>
      </c>
      <c r="N168" s="497">
        <f t="shared" ca="1" si="88"/>
        <v>48620</v>
      </c>
      <c r="O168" s="497">
        <f t="shared" ca="1" si="85"/>
        <v>230.97387173396675</v>
      </c>
      <c r="P168" s="497">
        <f t="shared" ca="1" si="86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85"/>
        <v>0</v>
      </c>
      <c r="P169" s="92">
        <f t="shared" si="86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IFERROR(__xludf.DUMMYFUNCTION("IMPORTRANGE(""https://docs.google.com/spreadsheets/d/1MeEWN-I1oV_STSDYn1IFDPWt_1FKiwhDph83XaGc0o0/edit?usp=sharing"",""งบพรบ!CE62"")"),21050)</f>
        <v>21050</v>
      </c>
      <c r="M170" s="92">
        <f ca="1">IFERROR(__xludf.DUMMYFUNCTION("IMPORTRANGE(""https://docs.google.com/spreadsheets/d/1MeEWN-I1oV_STSDYn1IFDPWt_1FKiwhDph83XaGc0o0/edit?usp=sharing"",""งบพรบ!CJ62"")"),48620)</f>
        <v>48620</v>
      </c>
      <c r="N170" s="92">
        <f ca="1">IFERROR(__xludf.DUMMYFUNCTION("IMPORTRANGE(""https://docs.google.com/spreadsheets/d/1MeEWN-I1oV_STSDYn1IFDPWt_1FKiwhDph83XaGc0o0/edit?usp=sharing"",""งบพรบ!CL62"")"),48620)</f>
        <v>48620</v>
      </c>
      <c r="O170" s="92">
        <f t="shared" ca="1" si="85"/>
        <v>230.97387173396675</v>
      </c>
      <c r="P170" s="92">
        <f t="shared" ca="1" si="86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85"/>
        <v>0</v>
      </c>
      <c r="P172" s="92">
        <f t="shared" si="86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IFERROR(__xludf.DUMMYFUNCTION("IMPORTRANGE(""https://docs.google.com/spreadsheets/d/1MeEWN-I1oV_STSDYn1IFDPWt_1FKiwhDph83XaGc0o0/edit?usp=sharing"",""งบพรบ!CH62"")"),0)</f>
        <v>0</v>
      </c>
      <c r="M173" s="92">
        <f ca="1">IFERROR(__xludf.DUMMYFUNCTION("IMPORTRANGE(""https://docs.google.com/spreadsheets/d/1MeEWN-I1oV_STSDYn1IFDPWt_1FKiwhDph83XaGc0o0/edit?usp=sharing"",""งบพรบ!CK62"")"),0)</f>
        <v>0</v>
      </c>
      <c r="N173" s="92">
        <f ca="1">IFERROR(__xludf.DUMMYFUNCTION("IMPORTRANGE(""https://docs.google.com/spreadsheets/d/1MeEWN-I1oV_STSDYn1IFDPWt_1FKiwhDph83XaGc0o0/edit?usp=sharing"",""งบพรบ!CM62"")"),0)</f>
        <v>0</v>
      </c>
      <c r="O173" s="92">
        <f t="shared" ca="1" si="85"/>
        <v>0</v>
      </c>
      <c r="P173" s="92">
        <f t="shared" ca="1" si="86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IFERROR(__xludf.DUMMYFUNCTION("IMPORTRANGE(""https://docs.google.com/spreadsheets/d/1QqKyyYR6Q21VydFLVH3TRQUabQu_ym0Zz7PgGX0-kHA/edit?usp=sharing"",""แผน!Y62"")"),10)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t="shared" ref="L181:N181" ca="1" si="92">L182+L183</f>
        <v>193000</v>
      </c>
      <c r="M181" s="154">
        <f t="shared" ca="1" si="92"/>
        <v>193000</v>
      </c>
      <c r="N181" s="154">
        <f t="shared" ca="1" si="92"/>
        <v>193000</v>
      </c>
      <c r="O181" s="154">
        <f t="shared" ref="O181:O189" ca="1" si="93">IF(L181&gt;0,N181*100/L181,0)</f>
        <v>100</v>
      </c>
      <c r="P181" s="154">
        <f t="shared" ref="P181:P189" ca="1" si="94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95">L185+L188</f>
        <v>0</v>
      </c>
      <c r="M182" s="92">
        <f t="shared" si="95"/>
        <v>0</v>
      </c>
      <c r="N182" s="92">
        <f t="shared" si="95"/>
        <v>0</v>
      </c>
      <c r="O182" s="92">
        <f t="shared" si="93"/>
        <v>0</v>
      </c>
      <c r="P182" s="92">
        <f t="shared" si="94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95"/>
        <v>193000</v>
      </c>
      <c r="M183" s="92">
        <f t="shared" ca="1" si="95"/>
        <v>193000</v>
      </c>
      <c r="N183" s="92">
        <f t="shared" ca="1" si="95"/>
        <v>193000</v>
      </c>
      <c r="O183" s="92">
        <f t="shared" ca="1" si="93"/>
        <v>100</v>
      </c>
      <c r="P183" s="92">
        <f t="shared" ca="1" si="94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t="shared" ref="L184:N184" ca="1" si="96">L185+L186</f>
        <v>193000</v>
      </c>
      <c r="M184" s="497">
        <f t="shared" ca="1" si="96"/>
        <v>193000</v>
      </c>
      <c r="N184" s="497">
        <f t="shared" ca="1" si="96"/>
        <v>193000</v>
      </c>
      <c r="O184" s="497">
        <f t="shared" ca="1" si="93"/>
        <v>100</v>
      </c>
      <c r="P184" s="497">
        <f t="shared" ca="1" si="94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93"/>
        <v>0</v>
      </c>
      <c r="P185" s="92">
        <f t="shared" si="94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IFERROR(__xludf.DUMMYFUNCTION("IMPORTRANGE(""https://docs.google.com/spreadsheets/d/1MeEWN-I1oV_STSDYn1IFDPWt_1FKiwhDph83XaGc0o0/edit?usp=sharing"",""งบพรบ!CO62"")"),193000)</f>
        <v>193000</v>
      </c>
      <c r="M186" s="92">
        <f ca="1">IFERROR(__xludf.DUMMYFUNCTION("IMPORTRANGE(""https://docs.google.com/spreadsheets/d/1MeEWN-I1oV_STSDYn1IFDPWt_1FKiwhDph83XaGc0o0/edit?usp=sharing"",""งบพรบ!CT62"")"),193000)</f>
        <v>193000</v>
      </c>
      <c r="N186" s="92">
        <f ca="1">IFERROR(__xludf.DUMMYFUNCTION("IMPORTRANGE(""https://docs.google.com/spreadsheets/d/1MeEWN-I1oV_STSDYn1IFDPWt_1FKiwhDph83XaGc0o0/edit?usp=sharing"",""งบพรบ!CV62"")"),193000)</f>
        <v>193000</v>
      </c>
      <c r="O186" s="92">
        <f t="shared" ca="1" si="93"/>
        <v>100</v>
      </c>
      <c r="P186" s="92">
        <f t="shared" ca="1" si="94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93"/>
        <v>0</v>
      </c>
      <c r="P188" s="92">
        <f t="shared" si="94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IFERROR(__xludf.DUMMYFUNCTION("IMPORTRANGE(""https://docs.google.com/spreadsheets/d/1MeEWN-I1oV_STSDYn1IFDPWt_1FKiwhDph83XaGc0o0/edit?usp=sharing"",""งบพรบ!CR62"")"),0)</f>
        <v>0</v>
      </c>
      <c r="M189" s="92">
        <f ca="1">IFERROR(__xludf.DUMMYFUNCTION("IMPORTRANGE(""https://docs.google.com/spreadsheets/d/1MeEWN-I1oV_STSDYn1IFDPWt_1FKiwhDph83XaGc0o0/edit?usp=sharing"",""งบพรบ!CU62"")"),0)</f>
        <v>0</v>
      </c>
      <c r="N189" s="92">
        <f ca="1">IFERROR(__xludf.DUMMYFUNCTION("IMPORTRANGE(""https://docs.google.com/spreadsheets/d/1MeEWN-I1oV_STSDYn1IFDPWt_1FKiwhDph83XaGc0o0/edit?usp=sharing"",""งบพรบ!CW62"")"),0)</f>
        <v>0</v>
      </c>
      <c r="O189" s="92">
        <f t="shared" ca="1" si="93"/>
        <v>0</v>
      </c>
      <c r="P189" s="92">
        <f t="shared" ca="1" si="94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IFERROR(__xludf.DUMMYFUNCTION("IMPORTRANGE(""https://docs.google.com/spreadsheets/d/1QqKyyYR6Q21VydFLVH3TRQUabQu_ym0Zz7PgGX0-kHA/edit?usp=sharing"",""แผน!Z62"")"),6000)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IFERROR(__xludf.DUMMYFUNCTION("IMPORTRANGE(""https://docs.google.com/spreadsheets/d/1QqKyyYR6Q21VydFLVH3TRQUabQu_ym0Zz7PgGX0-kHA/edit?usp=sharing"",""แผน!AC62"")"),4)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153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153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3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3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3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IFERROR(__xludf.DUMMYFUNCTION("IMPORTRANGE(""https://docs.google.com/spreadsheets/d/1QqKyyYR6Q21VydFLVH3TRQUabQu_ym0Zz7PgGX0-kHA/edit?usp=sharing"",""แผน!AI62"")"),2)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2</v>
      </c>
      <c r="J206" s="214">
        <v>2</v>
      </c>
      <c r="K206" s="162">
        <f t="shared" ref="K206:K208" si="100"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 t="shared" si="100"/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IFERROR(__xludf.DUMMYFUNCTION("IMPORTRANGE(""https://docs.google.com/spreadsheets/d/1QqKyyYR6Q21VydFLVH3TRQUabQu_ym0Zz7PgGX0-kHA/edit?usp=sharing"",""แผน!AN62"")"),0)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IFERROR(__xludf.DUMMYFUNCTION("IMPORTRANGE(""https://docs.google.com/spreadsheets/d/1QqKyyYR6Q21VydFLVH3TRQUabQu_ym0Zz7PgGX0-kHA/edit?usp=sharing"",""แผน!AN62"")"),0)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20000</v>
      </c>
      <c r="K216" s="272">
        <f t="shared" ca="1" si="102"/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3">
        <f>450+1480+1070</f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IFERROR(__xludf.DUMMYFUNCTION("IMPORTRANGE(""https://docs.google.com/spreadsheets/d/1QqKyyYR6Q21VydFLVH3TRQUabQu_ym0Zz7PgGX0-kHA/edit?usp=sharing"",""แผน!AT62"")"),20000)</f>
        <v>20000</v>
      </c>
      <c r="J223" s="214">
        <v>20000</v>
      </c>
      <c r="K223" s="162">
        <f t="shared" ref="K223:K226" ca="1" si="104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IFERROR(__xludf.DUMMYFUNCTION("IMPORTRANGE(""https://docs.google.com/spreadsheets/d/1QqKyyYR6Q21VydFLVH3TRQUabQu_ym0Zz7PgGX0-kHA/edit?usp=sharing"",""แผน!AT62"")"),20000)</f>
        <v>20000</v>
      </c>
      <c r="J224" s="214">
        <v>20000</v>
      </c>
      <c r="K224" s="162">
        <f t="shared" ca="1" si="104"/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IFERROR(__xludf.DUMMYFUNCTION("IMPORTRANGE(""https://docs.google.com/spreadsheets/d/1QqKyyYR6Q21VydFLVH3TRQUabQu_ym0Zz7PgGX0-kHA/edit?usp=sharing"",""แผน!AS62"")"),0)</f>
        <v>0</v>
      </c>
      <c r="J225" s="214">
        <v>0</v>
      </c>
      <c r="K225" s="162">
        <f t="shared" ca="1" si="104"/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t="shared" ca="1" si="106"/>
        <v>0</v>
      </c>
      <c r="M228" s="92"/>
      <c r="N228" s="92">
        <f t="shared" si="107"/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t="shared" ca="1" si="106"/>
        <v>0</v>
      </c>
      <c r="M229" s="92"/>
      <c r="N229" s="92">
        <f t="shared" si="107"/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t="shared" ca="1" si="106"/>
        <v>0</v>
      </c>
      <c r="M230" s="92"/>
      <c r="N230" s="92">
        <f t="shared" si="107"/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t="shared" ca="1" si="106"/>
        <v>0</v>
      </c>
      <c r="M231" s="92"/>
      <c r="N231" s="92">
        <f t="shared" si="107"/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t="shared" ref="I233:J233" ca="1" si="108">I244+I255</f>
        <v>0</v>
      </c>
      <c r="J233" s="612">
        <f t="shared" si="108"/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 t="shared" ref="I235:J236" si="109">I246+I257</f>
        <v>0</v>
      </c>
      <c r="J235" s="612">
        <f t="shared" si="109"/>
        <v>0</v>
      </c>
      <c r="K235" s="92">
        <f t="shared" ref="K235:K237" si="110"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 t="shared" si="109"/>
        <v>0</v>
      </c>
      <c r="J236" s="612">
        <f t="shared" si="109"/>
        <v>0</v>
      </c>
      <c r="K236" s="92">
        <f t="shared" si="110"/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IFERROR(__xludf.DUMMYFUNCTION("IMPORTRANGE(""https://docs.google.com/spreadsheets/d/1QqKyyYR6Q21VydFLVH3TRQUabQu_ym0Zz7PgGX0-kHA/edit?usp=sharing"",""แผน!AV62"")"),0)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IFERROR(__xludf.DUMMYFUNCTION("IMPORTRANGE(""https://docs.google.com/spreadsheets/d/1QqKyyYR6Q21VydFLVH3TRQUabQu_ym0Zz7PgGX0-kHA/edit?usp=sharing"",""แผน!AW62"")"),0)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IFERROR(__xludf.DUMMYFUNCTION("IMPORTRANGE(""https://docs.google.com/spreadsheets/d/1QqKyyYR6Q21VydFLVH3TRQUabQu_ym0Zz7PgGX0-kHA/edit?usp=sharing"",""แผน!AX62"")"),0)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IFERROR(__xludf.DUMMYFUNCTION("IMPORTRANGE(""https://docs.google.com/spreadsheets/d/1QqKyyYR6Q21VydFLVH3TRQUabQu_ym0Zz7PgGX0-kHA/edit?usp=sharing"",""แผน!AY62"")"),0)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IFERROR(__xludf.DUMMYFUNCTION("IMPORTRANGE(""https://docs.google.com/spreadsheets/d/1QqKyyYR6Q21VydFLVH3TRQUabQu_ym0Zz7PgGX0-kHA/edit?usp=sharing"",""แผน!BE62"")"),0)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IFERROR(__xludf.DUMMYFUNCTION("IMPORTRANGE(""https://docs.google.com/spreadsheets/d/1QqKyyYR6Q21VydFLVH3TRQUabQu_ym0Zz7PgGX0-kHA/edit?usp=sharing"",""แผน!AZ62"")"),0)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IFERROR(__xludf.DUMMYFUNCTION("IMPORTRANGE(""https://docs.google.com/spreadsheets/d/1QqKyyYR6Q21VydFLVH3TRQUabQu_ym0Zz7PgGX0-kHA/edit?usp=sharing"",""แผน!BA62"")"),0)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IFERROR(__xludf.DUMMYFUNCTION("IMPORTRANGE(""https://docs.google.com/spreadsheets/d/1QqKyyYR6Q21VydFLVH3TRQUabQu_ym0Zz7PgGX0-kHA/edit?usp=sharing"",""แผน!BB62"")"),0)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IFERROR(__xludf.DUMMYFUNCTION("IMPORTRANGE(""https://docs.google.com/spreadsheets/d/1QqKyyYR6Q21VydFLVH3TRQUabQu_ym0Zz7PgGX0-kHA/edit?usp=sharing"",""แผน!BC62"")"),0)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IFERROR(__xludf.DUMMYFUNCTION("IMPORTRANGE(""https://docs.google.com/spreadsheets/d/1QqKyyYR6Q21VydFLVH3TRQUabQu_ym0Zz7PgGX0-kHA/edit?usp=sharing"",""แผน!BF62"")"),0)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t="shared" ref="I260:J260" ca="1" si="115">I271</f>
        <v>22</v>
      </c>
      <c r="J260" s="252">
        <f t="shared" si="115"/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t="shared" ref="L261:N261" ca="1" si="116">L262+L263</f>
        <v>26900</v>
      </c>
      <c r="M261" s="154">
        <f t="shared" ca="1" si="116"/>
        <v>26900</v>
      </c>
      <c r="N261" s="154">
        <f t="shared" ca="1" si="116"/>
        <v>26900</v>
      </c>
      <c r="O261" s="154">
        <f t="shared" ref="O261:O269" ca="1" si="117">IF(L261&gt;0,N261*100/L261,0)</f>
        <v>100</v>
      </c>
      <c r="P261" s="154">
        <f t="shared" ref="P261:P269" ca="1" si="118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119">L265+L268</f>
        <v>0</v>
      </c>
      <c r="M262" s="92">
        <f t="shared" si="119"/>
        <v>0</v>
      </c>
      <c r="N262" s="92">
        <f t="shared" si="119"/>
        <v>0</v>
      </c>
      <c r="O262" s="92">
        <f t="shared" si="117"/>
        <v>0</v>
      </c>
      <c r="P262" s="92">
        <f t="shared" si="118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119"/>
        <v>26900</v>
      </c>
      <c r="M263" s="92">
        <f t="shared" ca="1" si="119"/>
        <v>26900</v>
      </c>
      <c r="N263" s="92">
        <f t="shared" ca="1" si="119"/>
        <v>26900</v>
      </c>
      <c r="O263" s="92">
        <f t="shared" ca="1" si="117"/>
        <v>100</v>
      </c>
      <c r="P263" s="92">
        <f t="shared" ca="1" si="118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26900</v>
      </c>
      <c r="O264" s="497">
        <f t="shared" ca="1" si="117"/>
        <v>100</v>
      </c>
      <c r="P264" s="497">
        <f t="shared" ca="1" si="118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117"/>
        <v>0</v>
      </c>
      <c r="P265" s="92">
        <f t="shared" si="118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IFERROR(__xludf.DUMMYFUNCTION("IMPORTRANGE(""https://docs.google.com/spreadsheets/d/1MeEWN-I1oV_STSDYn1IFDPWt_1FKiwhDph83XaGc0o0/edit?usp=sharing"",""งบพรบ!CY62"")"),26900)</f>
        <v>26900</v>
      </c>
      <c r="M266" s="92">
        <f ca="1">IFERROR(__xludf.DUMMYFUNCTION("IMPORTRANGE(""https://docs.google.com/spreadsheets/d/1MeEWN-I1oV_STSDYn1IFDPWt_1FKiwhDph83XaGc0o0/edit?usp=sharing"",""งบพรบ!DD62"")"),26900)</f>
        <v>26900</v>
      </c>
      <c r="N266" s="92">
        <f ca="1">IFERROR(__xludf.DUMMYFUNCTION("IMPORTRANGE(""https://docs.google.com/spreadsheets/d/1MeEWN-I1oV_STSDYn1IFDPWt_1FKiwhDph83XaGc0o0/edit?usp=sharing"",""งบพรบ!DF62"")"),26900)</f>
        <v>26900</v>
      </c>
      <c r="O266" s="92">
        <f t="shared" ca="1" si="117"/>
        <v>100</v>
      </c>
      <c r="P266" s="92">
        <f t="shared" ca="1" si="118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117"/>
        <v>0</v>
      </c>
      <c r="P268" s="92">
        <f t="shared" si="118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IFERROR(__xludf.DUMMYFUNCTION("IMPORTRANGE(""https://docs.google.com/spreadsheets/d/1MeEWN-I1oV_STSDYn1IFDPWt_1FKiwhDph83XaGc0o0/edit?usp=sharing"",""งบพรบ!DB62"")"),0)</f>
        <v>0</v>
      </c>
      <c r="M269" s="92">
        <f ca="1">IFERROR(__xludf.DUMMYFUNCTION("IMPORTRANGE(""https://docs.google.com/spreadsheets/d/1MeEWN-I1oV_STSDYn1IFDPWt_1FKiwhDph83XaGc0o0/edit?usp=sharing"",""งบพรบ!DE62"")"),0)</f>
        <v>0</v>
      </c>
      <c r="N269" s="92">
        <f ca="1">IFERROR(__xludf.DUMMYFUNCTION("IMPORTRANGE(""https://docs.google.com/spreadsheets/d/1MeEWN-I1oV_STSDYn1IFDPWt_1FKiwhDph83XaGc0o0/edit?usp=sharing"",""งบพรบ!DG62"")"),0)</f>
        <v>0</v>
      </c>
      <c r="O269" s="92">
        <f t="shared" ca="1" si="117"/>
        <v>0</v>
      </c>
      <c r="P269" s="92">
        <f t="shared" ca="1" si="118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IFERROR(__xludf.DUMMYFUNCTION("IMPORTRANGE(""https://docs.google.com/spreadsheets/d/1QqKyyYR6Q21VydFLVH3TRQUabQu_ym0Zz7PgGX0-kHA/edit?usp=sharing"",""แผน!EA62"")"),22)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t="shared" ref="I276:J276" ca="1" si="124">I287</f>
        <v>0</v>
      </c>
      <c r="J276" s="860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t="shared" ref="L277:N277" ca="1" si="125">L278+L279</f>
        <v>0</v>
      </c>
      <c r="M277" s="154">
        <f t="shared" ca="1" si="125"/>
        <v>0</v>
      </c>
      <c r="N277" s="154">
        <f t="shared" ca="1" si="125"/>
        <v>0</v>
      </c>
      <c r="O277" s="154">
        <f t="shared" ref="O277:O285" ca="1" si="126">IF(L277&gt;0,N277*100/L277,0)</f>
        <v>0</v>
      </c>
      <c r="P277" s="154">
        <f t="shared" ref="P277:P285" ca="1" si="127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128">L281+L284</f>
        <v>0</v>
      </c>
      <c r="M278" s="92">
        <f t="shared" si="128"/>
        <v>0</v>
      </c>
      <c r="N278" s="92">
        <f t="shared" si="128"/>
        <v>0</v>
      </c>
      <c r="O278" s="92">
        <f t="shared" si="126"/>
        <v>0</v>
      </c>
      <c r="P278" s="92">
        <f t="shared" si="127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128"/>
        <v>0</v>
      </c>
      <c r="M279" s="92">
        <f t="shared" ca="1" si="128"/>
        <v>0</v>
      </c>
      <c r="N279" s="92">
        <f t="shared" ca="1" si="128"/>
        <v>0</v>
      </c>
      <c r="O279" s="92">
        <f t="shared" ca="1" si="126"/>
        <v>0</v>
      </c>
      <c r="P279" s="92">
        <f t="shared" ca="1" si="127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126"/>
        <v>0</v>
      </c>
      <c r="P281" s="92">
        <f t="shared" si="127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IFERROR(__xludf.DUMMYFUNCTION("IMPORTRANGE(""https://docs.google.com/spreadsheets/d/1MeEWN-I1oV_STSDYn1IFDPWt_1FKiwhDph83XaGc0o0/edit?usp=sharing"",""งบพรบ!DI62"")"),0)</f>
        <v>0</v>
      </c>
      <c r="M282" s="92">
        <f ca="1">IFERROR(__xludf.DUMMYFUNCTION("IMPORTRANGE(""https://docs.google.com/spreadsheets/d/1MeEWN-I1oV_STSDYn1IFDPWt_1FKiwhDph83XaGc0o0/edit?usp=sharing"",""งบพรบ!DN62"")"),0)</f>
        <v>0</v>
      </c>
      <c r="N282" s="92">
        <f ca="1">IFERROR(__xludf.DUMMYFUNCTION("IMPORTRANGE(""https://docs.google.com/spreadsheets/d/1MeEWN-I1oV_STSDYn1IFDPWt_1FKiwhDph83XaGc0o0/edit?usp=sharing"",""งบพรบ!DP62"")"),0)</f>
        <v>0</v>
      </c>
      <c r="O282" s="92">
        <f t="shared" ca="1" si="126"/>
        <v>0</v>
      </c>
      <c r="P282" s="92">
        <f t="shared" ca="1" si="127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126"/>
        <v>0</v>
      </c>
      <c r="P284" s="92">
        <f t="shared" si="127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IFERROR(__xludf.DUMMYFUNCTION("IMPORTRANGE(""https://docs.google.com/spreadsheets/d/1MeEWN-I1oV_STSDYn1IFDPWt_1FKiwhDph83XaGc0o0/edit?usp=sharing"",""งบพรบ!DL62"")"),0)</f>
        <v>0</v>
      </c>
      <c r="M285" s="92">
        <f ca="1">IFERROR(__xludf.DUMMYFUNCTION("IMPORTRANGE(""https://docs.google.com/spreadsheets/d/1MeEWN-I1oV_STSDYn1IFDPWt_1FKiwhDph83XaGc0o0/edit?usp=sharing"",""งบพรบ!DO62"")"),0)</f>
        <v>0</v>
      </c>
      <c r="N285" s="92">
        <f ca="1">IFERROR(__xludf.DUMMYFUNCTION("IMPORTRANGE(""https://docs.google.com/spreadsheets/d/1MeEWN-I1oV_STSDYn1IFDPWt_1FKiwhDph83XaGc0o0/edit?usp=sharing"",""งบพรบ!DQ62"")"),0)</f>
        <v>0</v>
      </c>
      <c r="O285" s="92">
        <f t="shared" ca="1" si="126"/>
        <v>0</v>
      </c>
      <c r="P285" s="92">
        <f t="shared" ca="1" si="127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IFERROR(__xludf.DUMMYFUNCTION("IMPORTRANGE(""https://docs.google.com/spreadsheets/d/1QqKyyYR6Q21VydFLVH3TRQUabQu_ym0Zz7PgGX0-kHA/edit?usp=sharing"",""แผน!EC62"")"),0)</f>
        <v>0</v>
      </c>
      <c r="J287" s="269">
        <v>0</v>
      </c>
      <c r="K287" s="162">
        <f t="shared" ref="K287:K288" ca="1" si="13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0">
        <f t="shared" ca="1" si="131"/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IFERROR(__xludf.DUMMYFUNCTION("IMPORTRANGE(""https://docs.google.com/spreadsheets/d/1QqKyyYR6Q21VydFLVH3TRQUabQu_ym0Zz7PgGX0-kHA/edit?usp=sharing"",""แผน!EB62"")"),0)</f>
        <v>0</v>
      </c>
      <c r="J290" s="214">
        <v>0</v>
      </c>
      <c r="K290" s="162">
        <f t="shared" ref="K290:K291" ca="1" si="132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IFERROR(__xludf.DUMMYFUNCTION("IMPORTRANGE(""https://docs.google.com/spreadsheets/d/1QqKyyYR6Q21VydFLVH3TRQUabQu_ym0Zz7PgGX0-kHA/edit?usp=sharing"",""แผน!EB62"")"),0)</f>
        <v>0</v>
      </c>
      <c r="J291" s="214">
        <v>0</v>
      </c>
      <c r="K291" s="162">
        <f t="shared" ca="1" si="132"/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IFERROR(__xludf.DUMMYFUNCTION("IMPORTRANGE(""https://docs.google.com/spreadsheets/d/1QqKyyYR6Q21VydFLVH3TRQUabQu_ym0Zz7PgGX0-kHA/edit?usp=sharing"",""แผน!EB62"")"),0)</f>
        <v>0</v>
      </c>
      <c r="J293" s="214">
        <v>0</v>
      </c>
      <c r="K293" s="162">
        <f t="shared" ref="K293:K294" ca="1" si="133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IFERROR(__xludf.DUMMYFUNCTION("IMPORTRANGE(""https://docs.google.com/spreadsheets/d/1QqKyyYR6Q21VydFLVH3TRQUabQu_ym0Zz7PgGX0-kHA/edit?usp=sharing"",""แผน!EB62"")"),0)</f>
        <v>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t="shared" ref="L298:N298" ca="1" si="135">L299+L300</f>
        <v>0</v>
      </c>
      <c r="M298" s="154">
        <f t="shared" ca="1" si="135"/>
        <v>0</v>
      </c>
      <c r="N298" s="154">
        <f t="shared" ca="1" si="135"/>
        <v>0</v>
      </c>
      <c r="O298" s="154">
        <f t="shared" ref="O298:O306" ca="1" si="136">IF(L298&gt;0,N298*100/L298,0)</f>
        <v>0</v>
      </c>
      <c r="P298" s="154">
        <f t="shared" ref="P298:P306" ca="1" si="137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138">L302+L305</f>
        <v>0</v>
      </c>
      <c r="M299" s="92">
        <f t="shared" si="138"/>
        <v>0</v>
      </c>
      <c r="N299" s="92">
        <f t="shared" si="138"/>
        <v>0</v>
      </c>
      <c r="O299" s="92">
        <f t="shared" si="136"/>
        <v>0</v>
      </c>
      <c r="P299" s="92">
        <f t="shared" si="137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138"/>
        <v>0</v>
      </c>
      <c r="M300" s="92">
        <f t="shared" ca="1" si="138"/>
        <v>0</v>
      </c>
      <c r="N300" s="92">
        <f t="shared" ca="1" si="138"/>
        <v>0</v>
      </c>
      <c r="O300" s="92">
        <f t="shared" ca="1" si="136"/>
        <v>0</v>
      </c>
      <c r="P300" s="92">
        <f t="shared" ca="1" si="137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136"/>
        <v>0</v>
      </c>
      <c r="P302" s="92">
        <f t="shared" si="137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IFERROR(__xludf.DUMMYFUNCTION("IMPORTRANGE(""https://docs.google.com/spreadsheets/d/1MeEWN-I1oV_STSDYn1IFDPWt_1FKiwhDph83XaGc0o0/edit?usp=sharing"",""งบพรบ!DS62"")"),0)</f>
        <v>0</v>
      </c>
      <c r="M303" s="92">
        <f ca="1">IFERROR(__xludf.DUMMYFUNCTION("IMPORTRANGE(""https://docs.google.com/spreadsheets/d/1MeEWN-I1oV_STSDYn1IFDPWt_1FKiwhDph83XaGc0o0/edit?usp=sharing"",""งบพรบ!DX62"")"),0)</f>
        <v>0</v>
      </c>
      <c r="N303" s="92">
        <f ca="1">IFERROR(__xludf.DUMMYFUNCTION("IMPORTRANGE(""https://docs.google.com/spreadsheets/d/1MeEWN-I1oV_STSDYn1IFDPWt_1FKiwhDph83XaGc0o0/edit?usp=sharing"",""งบพรบ!DZ62"")"),0)</f>
        <v>0</v>
      </c>
      <c r="O303" s="92">
        <f t="shared" ca="1" si="136"/>
        <v>0</v>
      </c>
      <c r="P303" s="92">
        <f t="shared" ca="1" si="137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136"/>
        <v>0</v>
      </c>
      <c r="P305" s="92">
        <f t="shared" si="137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IFERROR(__xludf.DUMMYFUNCTION("IMPORTRANGE(""https://docs.google.com/spreadsheets/d/1MeEWN-I1oV_STSDYn1IFDPWt_1FKiwhDph83XaGc0o0/edit?usp=sharing"",""งบพรบ!DV62"")"),0)</f>
        <v>0</v>
      </c>
      <c r="M306" s="92">
        <f ca="1">IFERROR(__xludf.DUMMYFUNCTION("IMPORTRANGE(""https://docs.google.com/spreadsheets/d/1MeEWN-I1oV_STSDYn1IFDPWt_1FKiwhDph83XaGc0o0/edit?usp=sharing"",""งบพรบ!DY62"")"),0)</f>
        <v>0</v>
      </c>
      <c r="N306" s="92">
        <f ca="1">IFERROR(__xludf.DUMMYFUNCTION("IMPORTRANGE(""https://docs.google.com/spreadsheets/d/1MeEWN-I1oV_STSDYn1IFDPWt_1FKiwhDph83XaGc0o0/edit?usp=sharing"",""งบพรบ!EA62"")"),0)</f>
        <v>0</v>
      </c>
      <c r="O306" s="92">
        <f t="shared" ca="1" si="136"/>
        <v>0</v>
      </c>
      <c r="P306" s="92">
        <f t="shared" ca="1" si="137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IFERROR(__xludf.DUMMYFUNCTION("IMPORTRANGE(""https://docs.google.com/spreadsheets/d/1QqKyyYR6Q21VydFLVH3TRQUabQu_ym0Zz7PgGX0-kHA/edit?usp=sharing"",""แผน!ED62"")"),0)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IFERROR(__xludf.DUMMYFUNCTION("IMPORTRANGE(""https://docs.google.com/spreadsheets/d/1QqKyyYR6Q21VydFLVH3TRQUabQu_ym0Zz7PgGX0-kHA/edit?usp=sharing"",""แผน!ED62"")"),0)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IFERROR(__xludf.DUMMYFUNCTION("IMPORTRANGE(""https://docs.google.com/spreadsheets/d/1QqKyyYR6Q21VydFLVH3TRQUabQu_ym0Zz7PgGX0-kHA/edit?usp=sharing"",""แผน!ED62"")"),0)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IFERROR(__xludf.DUMMYFUNCTION("IMPORTRANGE(""https://docs.google.com/spreadsheets/d/1QqKyyYR6Q21VydFLVH3TRQUabQu_ym0Zz7PgGX0-kHA/edit?usp=sharing"",""แผน!EE62"")"),0)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t="shared" ref="L315:N315" ca="1" si="143">L316+L317</f>
        <v>0</v>
      </c>
      <c r="M315" s="154">
        <f t="shared" ca="1" si="143"/>
        <v>0</v>
      </c>
      <c r="N315" s="154">
        <f t="shared" ca="1" si="143"/>
        <v>0</v>
      </c>
      <c r="O315" s="154">
        <f t="shared" ref="O315:O323" ca="1" si="144">IF(L315&gt;0,N315*100/L315,0)</f>
        <v>0</v>
      </c>
      <c r="P315" s="154">
        <f t="shared" ref="P315:P323" ca="1" si="145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146">L319+L322</f>
        <v>0</v>
      </c>
      <c r="M316" s="92">
        <f t="shared" si="146"/>
        <v>0</v>
      </c>
      <c r="N316" s="92">
        <f t="shared" si="146"/>
        <v>0</v>
      </c>
      <c r="O316" s="92">
        <f t="shared" si="144"/>
        <v>0</v>
      </c>
      <c r="P316" s="92">
        <f t="shared" si="145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146"/>
        <v>0</v>
      </c>
      <c r="M317" s="92">
        <f t="shared" ca="1" si="146"/>
        <v>0</v>
      </c>
      <c r="N317" s="92">
        <f t="shared" ca="1" si="146"/>
        <v>0</v>
      </c>
      <c r="O317" s="92">
        <f t="shared" ca="1" si="144"/>
        <v>0</v>
      </c>
      <c r="P317" s="92">
        <f t="shared" ca="1" si="145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144"/>
        <v>0</v>
      </c>
      <c r="P319" s="92">
        <f t="shared" si="145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IFERROR(__xludf.DUMMYFUNCTION("IMPORTRANGE(""https://docs.google.com/spreadsheets/d/1MeEWN-I1oV_STSDYn1IFDPWt_1FKiwhDph83XaGc0o0/edit?usp=sharing"",""งบพรบ!EC62"")"),0)</f>
        <v>0</v>
      </c>
      <c r="M320" s="92">
        <f ca="1">IFERROR(__xludf.DUMMYFUNCTION("IMPORTRANGE(""https://docs.google.com/spreadsheets/d/1MeEWN-I1oV_STSDYn1IFDPWt_1FKiwhDph83XaGc0o0/edit?usp=sharing"",""งบพรบ!EH62"")"),0)</f>
        <v>0</v>
      </c>
      <c r="N320" s="92">
        <f ca="1">IFERROR(__xludf.DUMMYFUNCTION("IMPORTRANGE(""https://docs.google.com/spreadsheets/d/1MeEWN-I1oV_STSDYn1IFDPWt_1FKiwhDph83XaGc0o0/edit?usp=sharing"",""งบพรบ!EJ62"")"),0)</f>
        <v>0</v>
      </c>
      <c r="O320" s="92">
        <f t="shared" ca="1" si="144"/>
        <v>0</v>
      </c>
      <c r="P320" s="92">
        <f t="shared" ca="1" si="145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144"/>
        <v>0</v>
      </c>
      <c r="P322" s="92">
        <f t="shared" si="145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IFERROR(__xludf.DUMMYFUNCTION("IMPORTRANGE(""https://docs.google.com/spreadsheets/d/1MeEWN-I1oV_STSDYn1IFDPWt_1FKiwhDph83XaGc0o0/edit?usp=sharing"",""งบพรบ!EF62"")"),0)</f>
        <v>0</v>
      </c>
      <c r="M323" s="92">
        <f ca="1">IFERROR(__xludf.DUMMYFUNCTION("IMPORTRANGE(""https://docs.google.com/spreadsheets/d/1MeEWN-I1oV_STSDYn1IFDPWt_1FKiwhDph83XaGc0o0/edit?usp=sharing"",""งบพรบ!EI62"")"),0)</f>
        <v>0</v>
      </c>
      <c r="N323" s="92">
        <f ca="1">IFERROR(__xludf.DUMMYFUNCTION("IMPORTRANGE(""https://docs.google.com/spreadsheets/d/1MeEWN-I1oV_STSDYn1IFDPWt_1FKiwhDph83XaGc0o0/edit?usp=sharing"",""งบพรบ!EK62"")"),0)</f>
        <v>0</v>
      </c>
      <c r="O323" s="92">
        <f t="shared" ca="1" si="144"/>
        <v>0</v>
      </c>
      <c r="P323" s="92">
        <f t="shared" ca="1" si="145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IFERROR(__xludf.DUMMYFUNCTION("IMPORTRANGE(""https://docs.google.com/spreadsheets/d/1QqKyyYR6Q21VydFLVH3TRQUabQu_ym0Zz7PgGX0-kHA/edit?usp=sharing"",""แผน!EF62"")"),0)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IFERROR(__xludf.DUMMYFUNCTION("IMPORTRANGE(""https://docs.google.com/spreadsheets/d/1QqKyyYR6Q21VydFLVH3TRQUabQu_ym0Zz7PgGX0-kHA/edit?usp=sharing"",""แผน!EG62"")"),800)</f>
        <v>800</v>
      </c>
      <c r="J327" s="443">
        <f ca="1">J338+J341+J342+J343</f>
        <v>1886</v>
      </c>
      <c r="K327" s="444">
        <f ca="1">IF(I327&gt;0,J327*100/I327,0)</f>
        <v>235.75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t="shared" ref="L328:N328" ca="1" si="149">L329+L330</f>
        <v>159000</v>
      </c>
      <c r="M328" s="154">
        <f t="shared" ca="1" si="149"/>
        <v>161500</v>
      </c>
      <c r="N328" s="154">
        <f t="shared" ca="1" si="149"/>
        <v>161500</v>
      </c>
      <c r="O328" s="154">
        <f t="shared" ref="O328:O336" ca="1" si="150">IF(L328&gt;0,N328*100/L328,0)</f>
        <v>101.57232704402516</v>
      </c>
      <c r="P328" s="154">
        <f t="shared" ref="P328:P336" ca="1" si="151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152">L332+L335</f>
        <v>0</v>
      </c>
      <c r="M329" s="92">
        <f t="shared" si="152"/>
        <v>0</v>
      </c>
      <c r="N329" s="92">
        <f t="shared" si="152"/>
        <v>0</v>
      </c>
      <c r="O329" s="92">
        <f t="shared" si="150"/>
        <v>0</v>
      </c>
      <c r="P329" s="92">
        <f t="shared" si="151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152"/>
        <v>159000</v>
      </c>
      <c r="M330" s="92">
        <f t="shared" ca="1" si="152"/>
        <v>161500</v>
      </c>
      <c r="N330" s="92">
        <f t="shared" ca="1" si="152"/>
        <v>161500</v>
      </c>
      <c r="O330" s="92">
        <f t="shared" ca="1" si="150"/>
        <v>101.57232704402516</v>
      </c>
      <c r="P330" s="92">
        <f t="shared" ca="1" si="151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t="shared" ref="L331:N331" ca="1" si="153">L332+L333</f>
        <v>159000</v>
      </c>
      <c r="M331" s="497">
        <f t="shared" ca="1" si="153"/>
        <v>161500</v>
      </c>
      <c r="N331" s="497">
        <f t="shared" ca="1" si="153"/>
        <v>161500</v>
      </c>
      <c r="O331" s="497">
        <f t="shared" ca="1" si="150"/>
        <v>101.57232704402516</v>
      </c>
      <c r="P331" s="497">
        <f t="shared" ca="1" si="151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150"/>
        <v>0</v>
      </c>
      <c r="P332" s="92">
        <f t="shared" si="151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IFERROR(__xludf.DUMMYFUNCTION("IMPORTRANGE(""https://docs.google.com/spreadsheets/d/1MeEWN-I1oV_STSDYn1IFDPWt_1FKiwhDph83XaGc0o0/edit?usp=sharing"",""งบพรบ!EM62"")"),159000)</f>
        <v>159000</v>
      </c>
      <c r="M333" s="92">
        <f ca="1">IFERROR(__xludf.DUMMYFUNCTION("IMPORTRANGE(""https://docs.google.com/spreadsheets/d/1MeEWN-I1oV_STSDYn1IFDPWt_1FKiwhDph83XaGc0o0/edit?usp=sharing"",""งบพรบ!ER62"")"),161500)</f>
        <v>161500</v>
      </c>
      <c r="N333" s="92">
        <f ca="1">IFERROR(__xludf.DUMMYFUNCTION("IMPORTRANGE(""https://docs.google.com/spreadsheets/d/1MeEWN-I1oV_STSDYn1IFDPWt_1FKiwhDph83XaGc0o0/edit?usp=sharing"",""งบพรบ!ET62"")"),161500)</f>
        <v>161500</v>
      </c>
      <c r="O333" s="92">
        <f t="shared" ca="1" si="150"/>
        <v>101.57232704402516</v>
      </c>
      <c r="P333" s="92">
        <f t="shared" ca="1" si="151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150"/>
        <v>0</v>
      </c>
      <c r="P335" s="92">
        <f t="shared" si="151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IFERROR(__xludf.DUMMYFUNCTION("IMPORTRANGE(""https://docs.google.com/spreadsheets/d/1MeEWN-I1oV_STSDYn1IFDPWt_1FKiwhDph83XaGc0o0/edit?usp=sharing"",""งบพรบ!EP62"")"),0)</f>
        <v>0</v>
      </c>
      <c r="M336" s="92">
        <f ca="1">IFERROR(__xludf.DUMMYFUNCTION("IMPORTRANGE(""https://docs.google.com/spreadsheets/d/1MeEWN-I1oV_STSDYn1IFDPWt_1FKiwhDph83XaGc0o0/edit?usp=sharing"",""งบพรบ!ES62"")"),0)</f>
        <v>0</v>
      </c>
      <c r="N336" s="92">
        <f ca="1">IFERROR(__xludf.DUMMYFUNCTION("IMPORTRANGE(""https://docs.google.com/spreadsheets/d/1MeEWN-I1oV_STSDYn1IFDPWt_1FKiwhDph83XaGc0o0/edit?usp=sharing"",""งบพรบ!EU62"")"),0)</f>
        <v>0</v>
      </c>
      <c r="O336" s="92">
        <f t="shared" ca="1" si="150"/>
        <v>0</v>
      </c>
      <c r="P336" s="92">
        <f t="shared" ca="1" si="151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IFERROR(__xludf.DUMMYFUNCTION("IMPORTRANGE(""https://docs.google.com/spreadsheets/d/1QqKyyYR6Q21VydFLVH3TRQUabQu_ym0Zz7PgGX0-kHA/edit?usp=sharing"",""แผน!EG62"")"),800)</f>
        <v>800</v>
      </c>
      <c r="J338" s="269">
        <f ca="1">IFERROR(__xludf.DUMMYFUNCTION("IMPORTRANGE(""https://docs.google.com/spreadsheets/d/1kVcqe37tkHyjCSG3S0O1AXqVkqjo8mSIZil3BcpIysc/edit?usp=sharing"",""ศูนย์!D62"")"),1727)</f>
        <v>1727</v>
      </c>
      <c r="K338" s="497">
        <f ca="1">IF(I338&gt;0,J338*100/I338,0)</f>
        <v>215.875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IFERROR(__xludf.DUMMYFUNCTION("IMPORTRANGE(""https://docs.google.com/spreadsheets/d/1QqKyyYR6Q21VydFLVH3TRQUabQu_ym0Zz7PgGX0-kHA/edit?usp=sharing"",""แผน!EH62"")"),3)</f>
        <v>3</v>
      </c>
      <c r="J340" s="269">
        <f ca="1">IFERROR(__xludf.DUMMYFUNCTION("IMPORTRANGE(""https://docs.google.com/spreadsheets/d/1kVcqe37tkHyjCSG3S0O1AXqVkqjo8mSIZil3BcpIysc/edit?usp=sharing"",""ศูนย์!E62"")"),3)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IFERROR(__xludf.DUMMYFUNCTION("IMPORTRANGE(""https://docs.google.com/spreadsheets/d/1kVcqe37tkHyjCSG3S0O1AXqVkqjo8mSIZil3BcpIysc/edit?usp=sharing"",""ศูนย์!F62"")"),111)</f>
        <v>111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t="shared" ref="L345:N345" ca="1" si="155">L346+L347</f>
        <v>636860</v>
      </c>
      <c r="M345" s="154">
        <f t="shared" ca="1" si="155"/>
        <v>684360</v>
      </c>
      <c r="N345" s="154">
        <f t="shared" ca="1" si="155"/>
        <v>684360</v>
      </c>
      <c r="O345" s="154">
        <f t="shared" ref="O345:O353" ca="1" si="156">IF(L345&gt;0,N345*100/L345,0)</f>
        <v>107.45846810916056</v>
      </c>
      <c r="P345" s="154">
        <f t="shared" ref="P345:P353" ca="1" si="157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158">L349+L352</f>
        <v>0</v>
      </c>
      <c r="M346" s="92">
        <f t="shared" si="158"/>
        <v>0</v>
      </c>
      <c r="N346" s="92">
        <f t="shared" si="158"/>
        <v>0</v>
      </c>
      <c r="O346" s="92">
        <f t="shared" si="156"/>
        <v>0</v>
      </c>
      <c r="P346" s="92">
        <f t="shared" si="157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158"/>
        <v>636860</v>
      </c>
      <c r="M347" s="92">
        <f t="shared" ca="1" si="158"/>
        <v>684360</v>
      </c>
      <c r="N347" s="92">
        <f t="shared" ca="1" si="158"/>
        <v>684360</v>
      </c>
      <c r="O347" s="92">
        <f t="shared" ca="1" si="156"/>
        <v>107.45846810916056</v>
      </c>
      <c r="P347" s="92">
        <f t="shared" ca="1" si="157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t="shared" ref="L348:N348" ca="1" si="159">L349+L350</f>
        <v>485260</v>
      </c>
      <c r="M348" s="497">
        <f t="shared" ca="1" si="159"/>
        <v>532760</v>
      </c>
      <c r="N348" s="497">
        <f t="shared" ca="1" si="159"/>
        <v>532760</v>
      </c>
      <c r="O348" s="497">
        <f t="shared" ca="1" si="156"/>
        <v>109.78856695379797</v>
      </c>
      <c r="P348" s="497">
        <f t="shared" ca="1" si="157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156"/>
        <v>0</v>
      </c>
      <c r="P349" s="92">
        <f t="shared" si="157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IFERROR(__xludf.DUMMYFUNCTION("IMPORTRANGE(""https://docs.google.com/spreadsheets/d/1MeEWN-I1oV_STSDYn1IFDPWt_1FKiwhDph83XaGc0o0/edit?usp=sharing"",""งบพรบ!EW62"")"),485260)</f>
        <v>485260</v>
      </c>
      <c r="M350" s="92">
        <f ca="1">IFERROR(__xludf.DUMMYFUNCTION("IMPORTRANGE(""https://docs.google.com/spreadsheets/d/1MeEWN-I1oV_STSDYn1IFDPWt_1FKiwhDph83XaGc0o0/edit?usp=sharing"",""งบพรบ!FB62"")"),532760)</f>
        <v>532760</v>
      </c>
      <c r="N350" s="92">
        <f ca="1">IFERROR(__xludf.DUMMYFUNCTION("IMPORTRANGE(""https://docs.google.com/spreadsheets/d/1MeEWN-I1oV_STSDYn1IFDPWt_1FKiwhDph83XaGc0o0/edit?usp=sharing"",""งบพรบ!FD62"")"),532760)</f>
        <v>532760</v>
      </c>
      <c r="O350" s="92">
        <f t="shared" ca="1" si="156"/>
        <v>109.78856695379797</v>
      </c>
      <c r="P350" s="92">
        <f t="shared" ca="1" si="157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156"/>
        <v>0</v>
      </c>
      <c r="P352" s="92">
        <f t="shared" si="157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IFERROR(__xludf.DUMMYFUNCTION("IMPORTRANGE(""https://docs.google.com/spreadsheets/d/1MeEWN-I1oV_STSDYn1IFDPWt_1FKiwhDph83XaGc0o0/edit?usp=sharing"",""งบพรบ!EZ62"")"),151600)</f>
        <v>151600</v>
      </c>
      <c r="M353" s="92">
        <f ca="1">IFERROR(__xludf.DUMMYFUNCTION("IMPORTRANGE(""https://docs.google.com/spreadsheets/d/1MeEWN-I1oV_STSDYn1IFDPWt_1FKiwhDph83XaGc0o0/edit?usp=sharing"",""งบพรบ!FC62"")"),151600)</f>
        <v>151600</v>
      </c>
      <c r="N353" s="92">
        <f ca="1">IFERROR(__xludf.DUMMYFUNCTION("IMPORTRANGE(""https://docs.google.com/spreadsheets/d/1MeEWN-I1oV_STSDYn1IFDPWt_1FKiwhDph83XaGc0o0/edit?usp=sharing"",""งบพรบ!FE62"")"),151600)</f>
        <v>151600</v>
      </c>
      <c r="O353" s="92">
        <f t="shared" ca="1" si="156"/>
        <v>100</v>
      </c>
      <c r="P353" s="92">
        <f t="shared" ca="1" si="157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67</v>
      </c>
      <c r="K355" s="465">
        <f ca="1">IF(I355&gt;0,J355*100/I355,0)</f>
        <v>74.444444444444443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IFERROR(__xludf.DUMMYFUNCTION("IMPORTRANGE(""https://docs.google.com/spreadsheets/d/1XWAQStnk-4SwqDmLtmXYiTMKHgktTP8We1SCoS47DrQ/edit?usp=sharing"",""จัดที่ดิน!W62"")"),124)</f>
        <v>124</v>
      </c>
      <c r="K358" s="497">
        <f t="shared" ref="K358:K365" si="161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IFERROR(__xludf.DUMMYFUNCTION("IMPORTRANGE(""https://docs.google.com/spreadsheets/d/1QqKyyYR6Q21VydFLVH3TRQUabQu_ym0Zz7PgGX0-kHA/edit?usp=sharing"",""แผน!EO62"")"),760)</f>
        <v>760</v>
      </c>
      <c r="J359" s="269">
        <f ca="1">IFERROR(__xludf.DUMMYFUNCTION("IMPORTRANGE(""https://docs.google.com/spreadsheets/d/1XWAQStnk-4SwqDmLtmXYiTMKHgktTP8We1SCoS47DrQ/edit?usp=sharing"",""จัดที่ดิน!X62"")"),1051.36)</f>
        <v>1051.3599999999999</v>
      </c>
      <c r="K359" s="497">
        <f t="shared" ca="1" si="161"/>
        <v>138.33684210526314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IFERROR(__xludf.DUMMYFUNCTION("IMPORTRANGE(""https://docs.google.com/spreadsheets/d/1QqKyyYR6Q21VydFLVH3TRQUabQu_ym0Zz7PgGX0-kHA/edit?usp=sharing"",""แผน!EP62"")"),90)</f>
        <v>90</v>
      </c>
      <c r="J360" s="269">
        <f ca="1">IFERROR(__xludf.DUMMYFUNCTION("IMPORTRANGE(""https://docs.google.com/spreadsheets/d/1XWAQStnk-4SwqDmLtmXYiTMKHgktTP8We1SCoS47DrQ/edit?usp=sharing"",""จัดที่ดิน!Y62"")"),85)</f>
        <v>85</v>
      </c>
      <c r="K360" s="497">
        <f t="shared" ca="1" si="161"/>
        <v>94.444444444444443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IFERROR(__xludf.DUMMYFUNCTION("IMPORTRANGE(""https://docs.google.com/spreadsheets/d/1XWAQStnk-4SwqDmLtmXYiTMKHgktTP8We1SCoS47DrQ/edit?usp=sharing"",""จัดที่ดิน!Z62"")"),605.52)</f>
        <v>605.52</v>
      </c>
      <c r="K361" s="497">
        <f t="shared" si="161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IFERROR(__xludf.DUMMYFUNCTION("IMPORTRANGE(""https://docs.google.com/spreadsheets/d/1QqKyyYR6Q21VydFLVH3TRQUabQu_ym0Zz7PgGX0-kHA/edit?usp=sharing"",""แผน!EP62"")"),90)</f>
        <v>90</v>
      </c>
      <c r="J362" s="269">
        <f ca="1">IFERROR(__xludf.DUMMYFUNCTION("IMPORTRANGE(""https://docs.google.com/spreadsheets/d/1XWAQStnk-4SwqDmLtmXYiTMKHgktTP8We1SCoS47DrQ/edit?usp=sharing"",""จัดที่ดิน!AA62"")"),67)</f>
        <v>67</v>
      </c>
      <c r="K362" s="497">
        <f t="shared" ca="1" si="161"/>
        <v>74.444444444444443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IFERROR(__xludf.DUMMYFUNCTION("IMPORTRANGE(""https://docs.google.com/spreadsheets/d/1XWAQStnk-4SwqDmLtmXYiTMKHgktTP8We1SCoS47DrQ/edit?usp=sharing"",""จัดที่ดิน!AB62"")"),434.78)</f>
        <v>434.78</v>
      </c>
      <c r="K363" s="497">
        <f t="shared" si="161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201</v>
      </c>
      <c r="K364" s="479">
        <f t="shared" ca="1" si="161"/>
        <v>143.57142857142858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40</v>
      </c>
      <c r="K365" s="491">
        <f t="shared" ca="1" si="161"/>
        <v>66.666666666666671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IFERROR(__xludf.DUMMYFUNCTION("IMPORTRANGE(""https://docs.google.com/spreadsheets/d/1XWAQStnk-4SwqDmLtmXYiTMKHgktTP8We1SCoS47DrQ/edit?usp=sharing"",""จัดที่ดิน!E62"")"),97)</f>
        <v>97</v>
      </c>
      <c r="K368" s="497">
        <f t="shared" ref="K368:K374" si="1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IFERROR(__xludf.DUMMYFUNCTION("IMPORTRANGE(""https://docs.google.com/spreadsheets/d/1QqKyyYR6Q21VydFLVH3TRQUabQu_ym0Zz7PgGX0-kHA/edit?usp=sharing"",""แผน!EI62"")"),500)</f>
        <v>500</v>
      </c>
      <c r="J369" s="269">
        <f ca="1">IFERROR(__xludf.DUMMYFUNCTION("IMPORTRANGE(""https://docs.google.com/spreadsheets/d/1XWAQStnk-4SwqDmLtmXYiTMKHgktTP8We1SCoS47DrQ/edit?usp=sharing"",""จัดที่ดิน!F62"")"),855.13)</f>
        <v>855.13</v>
      </c>
      <c r="K369" s="497">
        <f t="shared" ca="1" si="163"/>
        <v>171.02600000000001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IFERROR(__xludf.DUMMYFUNCTION("IMPORTRANGE(""https://docs.google.com/spreadsheets/d/1QqKyyYR6Q21VydFLVH3TRQUabQu_ym0Zz7PgGX0-kHA/edit?usp=sharing"",""แผน!EJ62"")"),60)</f>
        <v>60</v>
      </c>
      <c r="J370" s="269">
        <f ca="1">IFERROR(__xludf.DUMMYFUNCTION("IMPORTRANGE(""https://docs.google.com/spreadsheets/d/1XWAQStnk-4SwqDmLtmXYiTMKHgktTP8We1SCoS47DrQ/edit?usp=sharing"",""จัดที่ดิน!G62"")"),58)</f>
        <v>58</v>
      </c>
      <c r="K370" s="497">
        <f t="shared" ca="1" si="163"/>
        <v>96.666666666666671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IFERROR(__xludf.DUMMYFUNCTION("IMPORTRANGE(""https://docs.google.com/spreadsheets/d/1XWAQStnk-4SwqDmLtmXYiTMKHgktTP8We1SCoS47DrQ/edit?usp=sharing"",""จัดที่ดิน!H62"")"),409.29)</f>
        <v>409.29</v>
      </c>
      <c r="K371" s="497">
        <f t="shared" si="1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IFERROR(__xludf.DUMMYFUNCTION("IMPORTRANGE(""https://docs.google.com/spreadsheets/d/1QqKyyYR6Q21VydFLVH3TRQUabQu_ym0Zz7PgGX0-kHA/edit?usp=sharing"",""แผน!EJ62"")"),60)</f>
        <v>60</v>
      </c>
      <c r="J372" s="269">
        <f ca="1">IFERROR(__xludf.DUMMYFUNCTION("IMPORTRANGE(""https://docs.google.com/spreadsheets/d/1XWAQStnk-4SwqDmLtmXYiTMKHgktTP8We1SCoS47DrQ/edit?usp=sharing"",""จัดที่ดิน!I62"")"),40)</f>
        <v>40</v>
      </c>
      <c r="K372" s="497">
        <f t="shared" ca="1" si="163"/>
        <v>66.666666666666671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IFERROR(__xludf.DUMMYFUNCTION("IMPORTRANGE(""https://docs.google.com/spreadsheets/d/1XWAQStnk-4SwqDmLtmXYiTMKHgktTP8We1SCoS47DrQ/edit?usp=sharing"",""จัดที่ดิน!J62"")"),247.84)</f>
        <v>247.84</v>
      </c>
      <c r="K373" s="497">
        <f t="shared" si="1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161</v>
      </c>
      <c r="K374" s="491">
        <f t="shared" ca="1" si="163"/>
        <v>201.25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IFERROR(__xludf.DUMMYFUNCTION("IMPORTRANGE(""https://docs.google.com/spreadsheets/d/1XWAQStnk-4SwqDmLtmXYiTMKHgktTP8We1SCoS47DrQ/edit?usp=sharing"",""จัดที่ดิน!AH62"")"),27)</f>
        <v>27</v>
      </c>
      <c r="K377" s="497">
        <f t="shared" ref="K377:K382" si="1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IFERROR(__xludf.DUMMYFUNCTION("IMPORTRANGE(""https://docs.google.com/spreadsheets/d/1QqKyyYR6Q21VydFLVH3TRQUabQu_ym0Zz7PgGX0-kHA/edit?usp=sharing"",""แผน!ET62"")"),260)</f>
        <v>260</v>
      </c>
      <c r="J378" s="269">
        <f ca="1">IFERROR(__xludf.DUMMYFUNCTION("IMPORTRANGE(""https://docs.google.com/spreadsheets/d/1XWAQStnk-4SwqDmLtmXYiTMKHgktTP8We1SCoS47DrQ/edit?usp=sharing"",""จัดที่ดิน!AI62"")"),196.23)</f>
        <v>196.23</v>
      </c>
      <c r="K378" s="497">
        <f t="shared" ca="1" si="164"/>
        <v>75.473076923076917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IFERROR(__xludf.DUMMYFUNCTION("IMPORTRANGE(""https://docs.google.com/spreadsheets/d/1QqKyyYR6Q21VydFLVH3TRQUabQu_ym0Zz7PgGX0-kHA/edit?usp=sharing"",""แผน!EU62"")"),80)</f>
        <v>80</v>
      </c>
      <c r="J379" s="269">
        <f ca="1">IFERROR(__xludf.DUMMYFUNCTION("IMPORTRANGE(""https://docs.google.com/spreadsheets/d/1XWAQStnk-4SwqDmLtmXYiTMKHgktTP8We1SCoS47DrQ/edit?usp=sharing"",""จัดที่ดิน!AJ62"")"),161)</f>
        <v>161</v>
      </c>
      <c r="K379" s="497">
        <f t="shared" ca="1" si="164"/>
        <v>201.25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IFERROR(__xludf.DUMMYFUNCTION("IMPORTRANGE(""https://docs.google.com/spreadsheets/d/1XWAQStnk-4SwqDmLtmXYiTMKHgktTP8We1SCoS47DrQ/edit?usp=sharing"",""จัดที่ดิน!AK62"")"),1949.65)</f>
        <v>1949.65</v>
      </c>
      <c r="K380" s="497">
        <f t="shared" si="1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IFERROR(__xludf.DUMMYFUNCTION("IMPORTRANGE(""https://docs.google.com/spreadsheets/d/1QqKyyYR6Q21VydFLVH3TRQUabQu_ym0Zz7PgGX0-kHA/edit?usp=sharing"",""แผน!EU62"")"),80)</f>
        <v>80</v>
      </c>
      <c r="J381" s="269">
        <f ca="1">IFERROR(__xludf.DUMMYFUNCTION("IMPORTRANGE(""https://docs.google.com/spreadsheets/d/1XWAQStnk-4SwqDmLtmXYiTMKHgktTP8We1SCoS47DrQ/edit?usp=sharing"",""จัดที่ดิน!AL62"")"),161)</f>
        <v>161</v>
      </c>
      <c r="K381" s="497">
        <f t="shared" ca="1" si="164"/>
        <v>201.25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IFERROR(__xludf.DUMMYFUNCTION("IMPORTRANGE(""https://docs.google.com/spreadsheets/d/1XWAQStnk-4SwqDmLtmXYiTMKHgktTP8We1SCoS47DrQ/edit?usp=sharing"",""จัดที่ดิน!AM62"")"),1948.82)</f>
        <v>1948.82</v>
      </c>
      <c r="K382" s="497">
        <f t="shared" si="1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IFERROR(__xludf.DUMMYFUNCTION("IMPORTRANGE(""https://docs.google.com/spreadsheets/d/1XWAQStnk-4SwqDmLtmXYiTMKHgktTP8We1SCoS47DrQ/edit?usp=sharing"",""จัดที่ดิน!AP62"")"),15)</f>
        <v>15</v>
      </c>
      <c r="K385" s="502">
        <f ca="1">IF(I385&gt;0,J385*100/I385,0)</f>
        <v>100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t="shared" ref="L389:N389" ca="1" si="166">L390+L391</f>
        <v>0</v>
      </c>
      <c r="M389" s="154">
        <f t="shared" ca="1" si="166"/>
        <v>0</v>
      </c>
      <c r="N389" s="154">
        <f t="shared" ca="1" si="166"/>
        <v>0</v>
      </c>
      <c r="O389" s="154">
        <f t="shared" ref="O389:O397" ca="1" si="167">IF(L389&gt;0,N389*100/L389,0)</f>
        <v>0</v>
      </c>
      <c r="P389" s="154">
        <f t="shared" ref="P389:P397" ca="1" si="168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169">L393+L396</f>
        <v>0</v>
      </c>
      <c r="M390" s="92">
        <f t="shared" si="169"/>
        <v>0</v>
      </c>
      <c r="N390" s="92">
        <f t="shared" si="169"/>
        <v>0</v>
      </c>
      <c r="O390" s="92">
        <f t="shared" si="167"/>
        <v>0</v>
      </c>
      <c r="P390" s="92">
        <f t="shared" si="168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169"/>
        <v>0</v>
      </c>
      <c r="M391" s="92">
        <f t="shared" ca="1" si="169"/>
        <v>0</v>
      </c>
      <c r="N391" s="92">
        <f t="shared" ca="1" si="169"/>
        <v>0</v>
      </c>
      <c r="O391" s="92">
        <f t="shared" ca="1" si="167"/>
        <v>0</v>
      </c>
      <c r="P391" s="92">
        <f t="shared" ca="1" si="168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167"/>
        <v>0</v>
      </c>
      <c r="P393" s="92">
        <f t="shared" si="168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IFERROR(__xludf.DUMMYFUNCTION("IMPORTRANGE(""https://docs.google.com/spreadsheets/d/1MeEWN-I1oV_STSDYn1IFDPWt_1FKiwhDph83XaGc0o0/edit?usp=sharing"",""งบพรบ!FG62"")"),0)</f>
        <v>0</v>
      </c>
      <c r="M394" s="92">
        <f ca="1">IFERROR(__xludf.DUMMYFUNCTION("IMPORTRANGE(""https://docs.google.com/spreadsheets/d/1MeEWN-I1oV_STSDYn1IFDPWt_1FKiwhDph83XaGc0o0/edit?usp=sharing"",""งบพรบ!FL62"")"),0)</f>
        <v>0</v>
      </c>
      <c r="N394" s="92">
        <f ca="1">IFERROR(__xludf.DUMMYFUNCTION("IMPORTRANGE(""https://docs.google.com/spreadsheets/d/1MeEWN-I1oV_STSDYn1IFDPWt_1FKiwhDph83XaGc0o0/edit?usp=sharing"",""งบพรบ!FN62"")"),0)</f>
        <v>0</v>
      </c>
      <c r="O394" s="92">
        <f t="shared" ca="1" si="167"/>
        <v>0</v>
      </c>
      <c r="P394" s="92">
        <f t="shared" ca="1" si="168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167"/>
        <v>0</v>
      </c>
      <c r="P396" s="92">
        <f t="shared" si="168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IFERROR(__xludf.DUMMYFUNCTION("IMPORTRANGE(""https://docs.google.com/spreadsheets/d/1MeEWN-I1oV_STSDYn1IFDPWt_1FKiwhDph83XaGc0o0/edit?usp=sharing"",""งบพรบ!FJ62"")"),0)</f>
        <v>0</v>
      </c>
      <c r="M397" s="92">
        <f ca="1">IFERROR(__xludf.DUMMYFUNCTION("IMPORTRANGE(""https://docs.google.com/spreadsheets/d/1MeEWN-I1oV_STSDYn1IFDPWt_1FKiwhDph83XaGc0o0/edit?usp=sharing"",""งบพรบ!FM62"")"),0)</f>
        <v>0</v>
      </c>
      <c r="N397" s="92">
        <f ca="1">IFERROR(__xludf.DUMMYFUNCTION("IMPORTRANGE(""https://docs.google.com/spreadsheets/d/1MeEWN-I1oV_STSDYn1IFDPWt_1FKiwhDph83XaGc0o0/edit?usp=sharing"",""งบพรบ!FO62"")"),0)</f>
        <v>0</v>
      </c>
      <c r="O397" s="92">
        <f t="shared" ca="1" si="167"/>
        <v>0</v>
      </c>
      <c r="P397" s="92">
        <f t="shared" ca="1" si="168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t="shared" ref="L402:N402" ca="1" si="174">L403+L404</f>
        <v>0</v>
      </c>
      <c r="M402" s="154">
        <f t="shared" ca="1" si="174"/>
        <v>0</v>
      </c>
      <c r="N402" s="154">
        <f t="shared" ca="1" si="174"/>
        <v>0</v>
      </c>
      <c r="O402" s="154">
        <f t="shared" ref="O402:O410" ca="1" si="175">IF(L402&gt;0,N402*100/L402,0)</f>
        <v>0</v>
      </c>
      <c r="P402" s="154">
        <f t="shared" ref="P402:P410" ca="1" si="176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177">L406+L409</f>
        <v>0</v>
      </c>
      <c r="M403" s="92">
        <f t="shared" si="177"/>
        <v>0</v>
      </c>
      <c r="N403" s="92">
        <f t="shared" si="177"/>
        <v>0</v>
      </c>
      <c r="O403" s="92">
        <f t="shared" si="175"/>
        <v>0</v>
      </c>
      <c r="P403" s="92">
        <f t="shared" si="176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177"/>
        <v>0</v>
      </c>
      <c r="M404" s="92">
        <f t="shared" ca="1" si="177"/>
        <v>0</v>
      </c>
      <c r="N404" s="92">
        <f t="shared" ca="1" si="177"/>
        <v>0</v>
      </c>
      <c r="O404" s="92">
        <f t="shared" ca="1" si="175"/>
        <v>0</v>
      </c>
      <c r="P404" s="92">
        <f t="shared" ca="1" si="176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175"/>
        <v>0</v>
      </c>
      <c r="P406" s="92">
        <f t="shared" si="176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IFERROR(__xludf.DUMMYFUNCTION("IMPORTRANGE(""https://docs.google.com/spreadsheets/d/1MeEWN-I1oV_STSDYn1IFDPWt_1FKiwhDph83XaGc0o0/edit?usp=sharing"",""งบพรบ!FQ62"")"),0)</f>
        <v>0</v>
      </c>
      <c r="M407" s="92">
        <f ca="1">IFERROR(__xludf.DUMMYFUNCTION("IMPORTRANGE(""https://docs.google.com/spreadsheets/d/1MeEWN-I1oV_STSDYn1IFDPWt_1FKiwhDph83XaGc0o0/edit?usp=sharing"",""งบพรบ!FV62"")"),0)</f>
        <v>0</v>
      </c>
      <c r="N407" s="92">
        <f ca="1">IFERROR(__xludf.DUMMYFUNCTION("IMPORTRANGE(""https://docs.google.com/spreadsheets/d/1MeEWN-I1oV_STSDYn1IFDPWt_1FKiwhDph83XaGc0o0/edit?usp=sharing"",""งบพรบ!FX62"")"),0)</f>
        <v>0</v>
      </c>
      <c r="O407" s="92">
        <f t="shared" ca="1" si="175"/>
        <v>0</v>
      </c>
      <c r="P407" s="92">
        <f t="shared" ca="1" si="176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175"/>
        <v>0</v>
      </c>
      <c r="P409" s="92">
        <f t="shared" si="176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IFERROR(__xludf.DUMMYFUNCTION("IMPORTRANGE(""https://docs.google.com/spreadsheets/d/1MeEWN-I1oV_STSDYn1IFDPWt_1FKiwhDph83XaGc0o0/edit?usp=sharing"",""งบพรบ!FT62"")"),0)</f>
        <v>0</v>
      </c>
      <c r="M410" s="92">
        <f ca="1">IFERROR(__xludf.DUMMYFUNCTION("IMPORTRANGE(""https://docs.google.com/spreadsheets/d/1MeEWN-I1oV_STSDYn1IFDPWt_1FKiwhDph83XaGc0o0/edit?usp=sharing"",""งบพรบ!FW62"")"),0)</f>
        <v>0</v>
      </c>
      <c r="N410" s="92">
        <f ca="1">IFERROR(__xludf.DUMMYFUNCTION("IMPORTRANGE(""https://docs.google.com/spreadsheets/d/1MeEWN-I1oV_STSDYn1IFDPWt_1FKiwhDph83XaGc0o0/edit?usp=sharing"",""งบพรบ!FY62"")"),0)</f>
        <v>0</v>
      </c>
      <c r="O410" s="92">
        <f t="shared" ca="1" si="175"/>
        <v>0</v>
      </c>
      <c r="P410" s="92">
        <f t="shared" ca="1" si="176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1115915</v>
      </c>
      <c r="M414" s="549">
        <f t="shared" ca="1" si="181"/>
        <v>876993.61</v>
      </c>
      <c r="N414" s="549">
        <f t="shared" si="181"/>
        <v>876993.61</v>
      </c>
      <c r="O414" s="549">
        <f ca="1">IF(L414&gt;0,N414*100/L414,0)</f>
        <v>78.589642580304059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t="shared" ref="L419:N419" ca="1" si="184">L420+L421</f>
        <v>66560</v>
      </c>
      <c r="M419" s="154">
        <f t="shared" ca="1" si="184"/>
        <v>71560</v>
      </c>
      <c r="N419" s="154">
        <f t="shared" si="184"/>
        <v>71560</v>
      </c>
      <c r="O419" s="154">
        <f t="shared" ref="O419:O424" ca="1" si="185">IF(L419&gt;0,N419*100/L419,0)</f>
        <v>107.51201923076923</v>
      </c>
      <c r="P419" s="154">
        <f t="shared" ref="P419:P424" ca="1" si="186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187">L423+L430</f>
        <v>0</v>
      </c>
      <c r="M420" s="92">
        <f t="shared" si="187"/>
        <v>0</v>
      </c>
      <c r="N420" s="92">
        <f t="shared" si="187"/>
        <v>0</v>
      </c>
      <c r="O420" s="92">
        <f t="shared" si="185"/>
        <v>0</v>
      </c>
      <c r="P420" s="92">
        <f t="shared" si="186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187"/>
        <v>66560</v>
      </c>
      <c r="M421" s="92">
        <f t="shared" ca="1" si="187"/>
        <v>71560</v>
      </c>
      <c r="N421" s="92">
        <f t="shared" si="187"/>
        <v>71560</v>
      </c>
      <c r="O421" s="92">
        <f t="shared" ca="1" si="185"/>
        <v>107.51201923076923</v>
      </c>
      <c r="P421" s="92">
        <f t="shared" ca="1" si="186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t="shared" ref="L422:N422" ca="1" si="188">L423+L424</f>
        <v>66560</v>
      </c>
      <c r="M422" s="497">
        <f t="shared" ca="1" si="188"/>
        <v>71560</v>
      </c>
      <c r="N422" s="497">
        <f t="shared" si="188"/>
        <v>71560</v>
      </c>
      <c r="O422" s="497">
        <f t="shared" ca="1" si="185"/>
        <v>107.51201923076923</v>
      </c>
      <c r="P422" s="497">
        <f t="shared" ca="1" si="186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185"/>
        <v>0</v>
      </c>
      <c r="P423" s="92">
        <f t="shared" si="186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IFERROR(__xludf.DUMMYFUNCTION("IMPORTRANGE(""https://docs.google.com/spreadsheets/d/1QqKyyYR6Q21VydFLVH3TRQUabQu_ym0Zz7PgGX0-kHA/edit?usp=sharing"",""แผน!EY62"")"),66560)</f>
        <v>66560</v>
      </c>
      <c r="M424" s="92">
        <f ca="1">L424+5000</f>
        <v>71560</v>
      </c>
      <c r="N424" s="92">
        <f>N425+N426+N427+N428</f>
        <v>71560</v>
      </c>
      <c r="O424" s="92">
        <f t="shared" ca="1" si="185"/>
        <v>107.51201923076923</v>
      </c>
      <c r="P424" s="92">
        <f t="shared" ca="1" si="186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f>49950+75+4925</f>
        <v>54950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1940+13350+1320</f>
        <v>16610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 t="shared" si="190"/>
        <v>0</v>
      </c>
      <c r="P430" s="92">
        <f t="shared" si="191"/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IFERROR(__xludf.DUMMYFUNCTION("IMPORTRANGE(""https://docs.google.com/spreadsheets/d/1QqKyyYR6Q21VydFLVH3TRQUabQu_ym0Zz7PgGX0-kHA/edit?usp=sharing"",""แผน!FB62"")"),0)</f>
        <v>0</v>
      </c>
      <c r="M431" s="92">
        <v>0</v>
      </c>
      <c r="N431" s="92">
        <v>0</v>
      </c>
      <c r="O431" s="92">
        <f t="shared" ca="1" si="190"/>
        <v>0</v>
      </c>
      <c r="P431" s="92">
        <f t="shared" si="191"/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t="shared" ref="I434:J434" ca="1" si="193">I438+I440</f>
        <v>1</v>
      </c>
      <c r="J434" s="676">
        <f t="shared" si="193"/>
        <v>1</v>
      </c>
      <c r="K434" s="194">
        <f t="shared" ca="1" si="192"/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IFERROR(__xludf.DUMMYFUNCTION("IMPORTRANGE(""https://docs.google.com/spreadsheets/d/1QqKyyYR6Q21VydFLVH3TRQUabQu_ym0Zz7PgGX0-kHA/edit?usp=sharing"",""แผน!FE62"")"),0)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IFERROR(__xludf.DUMMYFUNCTION("IMPORTRANGE(""https://docs.google.com/spreadsheets/d/1QqKyyYR6Q21VydFLVH3TRQUabQu_ym0Zz7PgGX0-kHA/edit?usp=sharing"",""แผน!FG62"")"),1)</f>
        <v>1</v>
      </c>
      <c r="J440" s="214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IFERROR(__xludf.DUMMYFUNCTION("IMPORTRANGE(""https://docs.google.com/spreadsheets/d/1QqKyyYR6Q21VydFLVH3TRQUabQu_ym0Zz7PgGX0-kHA/edit?usp=sharing"",""แผน!FH62"")"),0)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t="shared" ref="L444:N444" ca="1" si="197">L445+L446</f>
        <v>0</v>
      </c>
      <c r="M444" s="194">
        <f t="shared" si="197"/>
        <v>0</v>
      </c>
      <c r="N444" s="194">
        <f t="shared" si="197"/>
        <v>0</v>
      </c>
      <c r="O444" s="194">
        <f t="shared" ref="O444:O449" ca="1" si="198">IF(L444&gt;0,N444*100/L444,0)</f>
        <v>0</v>
      </c>
      <c r="P444" s="194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200">L448+L455</f>
        <v>0</v>
      </c>
      <c r="M445" s="92">
        <f t="shared" si="200"/>
        <v>0</v>
      </c>
      <c r="N445" s="92">
        <f t="shared" si="200"/>
        <v>0</v>
      </c>
      <c r="O445" s="92">
        <f t="shared" si="198"/>
        <v>0</v>
      </c>
      <c r="P445" s="92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200"/>
        <v>0</v>
      </c>
      <c r="M446" s="92">
        <f t="shared" si="200"/>
        <v>0</v>
      </c>
      <c r="N446" s="92">
        <f t="shared" si="200"/>
        <v>0</v>
      </c>
      <c r="O446" s="92">
        <f t="shared" ca="1" si="198"/>
        <v>0</v>
      </c>
      <c r="P446" s="92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198"/>
        <v>0</v>
      </c>
      <c r="P448" s="92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IFERROR(__xludf.DUMMYFUNCTION("IMPORTRANGE(""https://docs.google.com/spreadsheets/d/1QqKyyYR6Q21VydFLVH3TRQUabQu_ym0Zz7PgGX0-kHA/edit?usp=sharing"",""แผน!FJ62"")"),0)</f>
        <v>0</v>
      </c>
      <c r="M449" s="92">
        <v>0</v>
      </c>
      <c r="N449" s="92">
        <f>N450+N451+N452+N453</f>
        <v>0</v>
      </c>
      <c r="O449" s="92">
        <f t="shared" ca="1" si="198"/>
        <v>0</v>
      </c>
      <c r="P449" s="92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 t="shared" si="203"/>
        <v>0</v>
      </c>
      <c r="P455" s="92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IFERROR(__xludf.DUMMYFUNCTION("IMPORTRANGE(""https://docs.google.com/spreadsheets/d/1QqKyyYR6Q21VydFLVH3TRQUabQu_ym0Zz7PgGX0-kHA/edit?usp=sharing"",""แผน!FM62"")"),0)</f>
        <v>0</v>
      </c>
      <c r="M456" s="92">
        <v>0</v>
      </c>
      <c r="N456" s="92">
        <v>0</v>
      </c>
      <c r="O456" s="92">
        <f t="shared" ca="1" si="203"/>
        <v>0</v>
      </c>
      <c r="P456" s="92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IFERROR(__xludf.DUMMYFUNCTION("IMPORTRANGE(""https://docs.google.com/spreadsheets/d/1QqKyyYR6Q21VydFLVH3TRQUabQu_ym0Zz7PgGX0-kHA/edit?usp=sharing"",""แผน!FN62"")"),0)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IFERROR(__xludf.DUMMYFUNCTION("IMPORTRANGE(""https://docs.google.com/spreadsheets/d/1QqKyyYR6Q21VydFLVH3TRQUabQu_ym0Zz7PgGX0-kHA/edit?usp=sharing"",""แผน!FO62"")"),0)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IFERROR(__xludf.DUMMYFUNCTION("IMPORTRANGE(""https://docs.google.com/spreadsheets/d/1QqKyyYR6Q21VydFLVH3TRQUabQu_ym0Zz7PgGX0-kHA/edit?usp=sharing"",""แผน!FO62"")"),0)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IFERROR(__xludf.DUMMYFUNCTION("IMPORTRANGE(""https://docs.google.com/spreadsheets/d/1QqKyyYR6Q21VydFLVH3TRQUabQu_ym0Zz7PgGX0-kHA/edit?usp=sharing"",""แผน!FN62"")"),0)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500</v>
      </c>
      <c r="K466" s="566">
        <f t="shared" ca="1" si="205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t="shared" ref="L467:N467" ca="1" si="206">L468+L469</f>
        <v>403983</v>
      </c>
      <c r="M467" s="194">
        <f t="shared" ca="1" si="206"/>
        <v>410533</v>
      </c>
      <c r="N467" s="194">
        <f t="shared" si="206"/>
        <v>410533</v>
      </c>
      <c r="O467" s="194">
        <f t="shared" ref="O467:O472" ca="1" si="207">IF(L467&gt;0,N467*100/L467,0)</f>
        <v>101.62135535406193</v>
      </c>
      <c r="P467" s="194">
        <f t="shared" ref="P467:P472" ca="1" si="208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209">L471+L478</f>
        <v>0</v>
      </c>
      <c r="M468" s="92">
        <f t="shared" si="209"/>
        <v>0</v>
      </c>
      <c r="N468" s="92">
        <f t="shared" si="209"/>
        <v>0</v>
      </c>
      <c r="O468" s="92">
        <f t="shared" si="207"/>
        <v>0</v>
      </c>
      <c r="P468" s="92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209"/>
        <v>403983</v>
      </c>
      <c r="M469" s="92">
        <f t="shared" ca="1" si="209"/>
        <v>410533</v>
      </c>
      <c r="N469" s="92">
        <f t="shared" si="209"/>
        <v>410533</v>
      </c>
      <c r="O469" s="92">
        <f t="shared" ca="1" si="207"/>
        <v>101.62135535406193</v>
      </c>
      <c r="P469" s="92">
        <f t="shared" ca="1" si="208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t="shared" ref="L470:N470" ca="1" si="210">L471+L472</f>
        <v>403983</v>
      </c>
      <c r="M470" s="497">
        <f t="shared" ca="1" si="210"/>
        <v>410533</v>
      </c>
      <c r="N470" s="497">
        <f t="shared" si="210"/>
        <v>410533</v>
      </c>
      <c r="O470" s="497">
        <f t="shared" ca="1" si="207"/>
        <v>101.62135535406193</v>
      </c>
      <c r="P470" s="497">
        <f t="shared" ca="1" si="208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207"/>
        <v>0</v>
      </c>
      <c r="P471" s="92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IFERROR(__xludf.DUMMYFUNCTION("IMPORTRANGE(""https://docs.google.com/spreadsheets/d/1QqKyyYR6Q21VydFLVH3TRQUabQu_ym0Zz7PgGX0-kHA/edit?usp=sharing"",""แผน!FS62"")"),403983)</f>
        <v>403983</v>
      </c>
      <c r="M472" s="92">
        <f ca="1">L472+6550</f>
        <v>410533</v>
      </c>
      <c r="N472" s="92">
        <f>N473+N474+N475+N476</f>
        <v>410533</v>
      </c>
      <c r="O472" s="92">
        <f t="shared" ca="1" si="207"/>
        <v>101.62135535406193</v>
      </c>
      <c r="P472" s="92">
        <f t="shared" ca="1" si="208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f>6550+78480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2700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7750+1053</f>
        <v>8803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 t="shared" si="212"/>
        <v>0</v>
      </c>
      <c r="P478" s="92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IFERROR(__xludf.DUMMYFUNCTION("IMPORTRANGE(""https://docs.google.com/spreadsheets/d/1QqKyyYR6Q21VydFLVH3TRQUabQu_ym0Zz7PgGX0-kHA/edit?usp=sharing"",""แผน!FV62"")"),0)</f>
        <v>0</v>
      </c>
      <c r="M479" s="92">
        <v>0</v>
      </c>
      <c r="N479" s="92">
        <v>0</v>
      </c>
      <c r="O479" s="92">
        <f t="shared" ca="1" si="212"/>
        <v>0</v>
      </c>
      <c r="P479" s="92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IFERROR(__xludf.DUMMYFUNCTION("IMPORTRANGE(""https://docs.google.com/spreadsheets/d/1QqKyyYR6Q21VydFLVH3TRQUabQu_ym0Zz7PgGX0-kHA/edit?usp=sharing"",""แผน!FY62"")"),450)</f>
        <v>450</v>
      </c>
      <c r="J483" s="214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45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IFERROR(__xludf.DUMMYFUNCTION("IMPORTRANGE(""https://docs.google.com/spreadsheets/d/1QqKyyYR6Q21VydFLVH3TRQUabQu_ym0Zz7PgGX0-kHA/edit?usp=sharing"",""แผน!FZ62"")"),45)</f>
        <v>45</v>
      </c>
      <c r="J485" s="214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IFERROR(__xludf.DUMMYFUNCTION("IMPORTRANGE(""https://docs.google.com/spreadsheets/d/1QqKyyYR6Q21VydFLVH3TRQUabQu_ym0Zz7PgGX0-kHA/edit?usp=sharing"",""แผน!GA62"")"),50)</f>
        <v>50</v>
      </c>
      <c r="J487" s="214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5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IFERROR(__xludf.DUMMYFUNCTION("IMPORTRANGE(""https://docs.google.com/spreadsheets/d/1QqKyyYR6Q21VydFLVH3TRQUabQu_ym0Zz7PgGX0-kHA/edit?usp=sharing"",""แผน!GB62"")"),5)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IFERROR(__xludf.DUMMYFUNCTION("IMPORTRANGE(""https://docs.google.com/spreadsheets/d/1QqKyyYR6Q21VydFLVH3TRQUabQu_ym0Zz7PgGX0-kHA/edit?usp=sharing"",""แผน!GC62"")"),1)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IFERROR(__xludf.DUMMYFUNCTION("IMPORTRANGE(""https://docs.google.com/spreadsheets/d/1QqKyyYR6Q21VydFLVH3TRQUabQu_ym0Zz7PgGX0-kHA/edit?usp=sharing"",""แผน!FY62"")"),450)</f>
        <v>450</v>
      </c>
      <c r="J495" s="214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450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IFERROR(__xludf.DUMMYFUNCTION("IMPORTRANGE(""https://docs.google.com/spreadsheets/d/1QqKyyYR6Q21VydFLVH3TRQUabQu_ym0Zz7PgGX0-kHA/edit?usp=sharing"",""แผน!GA62"")"),50)</f>
        <v>50</v>
      </c>
      <c r="J498" s="214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50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219">L506+L513</f>
        <v>0</v>
      </c>
      <c r="M503" s="92">
        <f t="shared" si="219"/>
        <v>0</v>
      </c>
      <c r="N503" s="92">
        <f t="shared" si="219"/>
        <v>0</v>
      </c>
      <c r="O503" s="92">
        <f t="shared" si="217"/>
        <v>0</v>
      </c>
      <c r="P503" s="92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219"/>
        <v>0</v>
      </c>
      <c r="M504" s="92">
        <f t="shared" si="219"/>
        <v>0</v>
      </c>
      <c r="N504" s="92">
        <f t="shared" si="219"/>
        <v>0</v>
      </c>
      <c r="O504" s="92">
        <f t="shared" si="217"/>
        <v>0</v>
      </c>
      <c r="P504" s="92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 t="shared" ref="L505:N505" si="220">L506+L507</f>
        <v>0</v>
      </c>
      <c r="M505" s="92">
        <f t="shared" si="220"/>
        <v>0</v>
      </c>
      <c r="N505" s="92">
        <f t="shared" si="220"/>
        <v>0</v>
      </c>
      <c r="O505" s="92">
        <f t="shared" si="217"/>
        <v>0</v>
      </c>
      <c r="P505" s="92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217"/>
        <v>0</v>
      </c>
      <c r="P506" s="92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217"/>
        <v>0</v>
      </c>
      <c r="P507" s="92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 t="shared" ref="L512:N512" si="221">L513+L514</f>
        <v>0</v>
      </c>
      <c r="M512" s="92">
        <f t="shared" si="221"/>
        <v>0</v>
      </c>
      <c r="N512" s="92">
        <f t="shared" si="221"/>
        <v>0</v>
      </c>
      <c r="O512" s="92">
        <f t="shared" ref="O512:O514" si="222">IF(L512&gt;0,N512*100/L512,0)</f>
        <v>0</v>
      </c>
      <c r="P512" s="92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 t="shared" si="222"/>
        <v>0</v>
      </c>
      <c r="P513" s="92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 t="shared" si="222"/>
        <v>0</v>
      </c>
      <c r="P514" s="92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 t="shared" ref="K516:K517" si="224"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t="shared" ref="L523:N523" ca="1" si="226">L524+L525</f>
        <v>0</v>
      </c>
      <c r="M523" s="194">
        <f t="shared" si="226"/>
        <v>0</v>
      </c>
      <c r="N523" s="194">
        <f t="shared" si="226"/>
        <v>0</v>
      </c>
      <c r="O523" s="194">
        <f t="shared" ref="O523:O528" ca="1" si="227">IF(L523&gt;0,N523*100/L523,0)</f>
        <v>0</v>
      </c>
      <c r="P523" s="194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229">L527+L534</f>
        <v>0</v>
      </c>
      <c r="M524" s="92">
        <f t="shared" si="229"/>
        <v>0</v>
      </c>
      <c r="N524" s="92">
        <f t="shared" si="229"/>
        <v>0</v>
      </c>
      <c r="O524" s="92">
        <f t="shared" si="227"/>
        <v>0</v>
      </c>
      <c r="P524" s="92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229"/>
        <v>0</v>
      </c>
      <c r="M525" s="92">
        <f t="shared" si="229"/>
        <v>0</v>
      </c>
      <c r="N525" s="92">
        <f t="shared" si="229"/>
        <v>0</v>
      </c>
      <c r="O525" s="92">
        <f t="shared" ca="1" si="227"/>
        <v>0</v>
      </c>
      <c r="P525" s="92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227"/>
        <v>0</v>
      </c>
      <c r="P527" s="92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IFERROR(__xludf.DUMMYFUNCTION("IMPORTRANGE(""https://docs.google.com/spreadsheets/d/1QqKyyYR6Q21VydFLVH3TRQUabQu_ym0Zz7PgGX0-kHA/edit?usp=sharing"",""แผน!GQ62"")"),0)</f>
        <v>0</v>
      </c>
      <c r="M528" s="92">
        <v>0</v>
      </c>
      <c r="N528" s="92">
        <f>N529+N530+N531+N532</f>
        <v>0</v>
      </c>
      <c r="O528" s="92">
        <f t="shared" ca="1" si="227"/>
        <v>0</v>
      </c>
      <c r="P528" s="92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 t="shared" si="232"/>
        <v>0</v>
      </c>
      <c r="P534" s="92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IFERROR(__xludf.DUMMYFUNCTION("IMPORTRANGE(""https://docs.google.com/spreadsheets/d/1QqKyyYR6Q21VydFLVH3TRQUabQu_ym0Zz7PgGX0-kHA/edit?usp=sharing"",""แผน!GT62"")"),0)</f>
        <v>0</v>
      </c>
      <c r="M535" s="92">
        <v>0</v>
      </c>
      <c r="N535" s="92">
        <v>0</v>
      </c>
      <c r="O535" s="92">
        <f t="shared" ca="1" si="232"/>
        <v>0</v>
      </c>
      <c r="P535" s="92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IFERROR(__xludf.DUMMYFUNCTION("IMPORTRANGE(""https://docs.google.com/spreadsheets/d/1QqKyyYR6Q21VydFLVH3TRQUabQu_ym0Zz7PgGX0-kHA/edit?usp=sharing"",""แผน!GV62"")"),0)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IFERROR(__xludf.DUMMYFUNCTION("IMPORTRANGE(""https://docs.google.com/spreadsheets/d/1QqKyyYR6Q21VydFLVH3TRQUabQu_ym0Zz7PgGX0-kHA/edit?usp=sharing"",""แผน!GW62"")"),0)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IFERROR(__xludf.DUMMYFUNCTION("IMPORTRANGE(""https://docs.google.com/spreadsheets/d/1QqKyyYR6Q21VydFLVH3TRQUabQu_ym0Zz7PgGX0-kHA/edit?usp=sharing"",""แผน!GX62"")"),0)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IFERROR(__xludf.DUMMYFUNCTION("IMPORTRANGE(""https://docs.google.com/spreadsheets/d/1QqKyyYR6Q21VydFLVH3TRQUabQu_ym0Zz7PgGX0-kHA/edit?usp=sharing"",""แผน!GY62"")"),0)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IFERROR(__xludf.DUMMYFUNCTION("IMPORTRANGE(""https://docs.google.com/spreadsheets/d/1QqKyyYR6Q21VydFLVH3TRQUabQu_ym0Zz7PgGX0-kHA/edit?usp=sharing"",""แผน!GZ62"")"),0)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18118.1525</v>
      </c>
      <c r="J543" s="682">
        <f t="shared" si="235"/>
        <v>18118.1525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t="shared" ref="L544:N544" ca="1" si="236">L545+L546</f>
        <v>315742</v>
      </c>
      <c r="M544" s="154">
        <f t="shared" ca="1" si="236"/>
        <v>241727</v>
      </c>
      <c r="N544" s="154">
        <f t="shared" si="236"/>
        <v>241727</v>
      </c>
      <c r="O544" s="154">
        <f t="shared" ref="O544:O549" ca="1" si="237">IF(L544&gt;0,N544*100/L544,0)</f>
        <v>76.558392611689285</v>
      </c>
      <c r="P544" s="154">
        <f t="shared" ref="P544:P549" ca="1" si="238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 t="shared" ref="L545:L546" si="239">L548+L556</f>
        <v>0</v>
      </c>
      <c r="M545" s="92">
        <f t="shared" ref="M545:N546" si="240">M548+M555</f>
        <v>0</v>
      </c>
      <c r="N545" s="92">
        <f t="shared" si="240"/>
        <v>0</v>
      </c>
      <c r="O545" s="92">
        <f t="shared" si="237"/>
        <v>0</v>
      </c>
      <c r="P545" s="92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t="shared" ca="1" si="239"/>
        <v>315742</v>
      </c>
      <c r="M546" s="92">
        <f t="shared" ca="1" si="240"/>
        <v>241727</v>
      </c>
      <c r="N546" s="92">
        <f t="shared" si="240"/>
        <v>241727</v>
      </c>
      <c r="O546" s="92">
        <f t="shared" ca="1" si="237"/>
        <v>76.558392611689285</v>
      </c>
      <c r="P546" s="92">
        <f t="shared" ca="1" si="238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t="shared" ref="L547:N547" ca="1" si="241">L548+L549</f>
        <v>315742</v>
      </c>
      <c r="M547" s="497">
        <f t="shared" ca="1" si="241"/>
        <v>241727</v>
      </c>
      <c r="N547" s="497">
        <f t="shared" si="241"/>
        <v>241727</v>
      </c>
      <c r="O547" s="497">
        <f t="shared" ca="1" si="237"/>
        <v>76.558392611689285</v>
      </c>
      <c r="P547" s="497">
        <f t="shared" ca="1" si="238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237"/>
        <v>0</v>
      </c>
      <c r="P548" s="92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IFERROR(__xludf.DUMMYFUNCTION("IMPORTRANGE(""https://docs.google.com/spreadsheets/d/1QqKyyYR6Q21VydFLVH3TRQUabQu_ym0Zz7PgGX0-kHA/edit?usp=sharing"",""แผน!HB62"")"),315742)</f>
        <v>315742</v>
      </c>
      <c r="M549" s="92">
        <f ca="1">L549-59635-14380</f>
        <v>241727</v>
      </c>
      <c r="N549" s="92">
        <f>N550+N551+N552+N553+N554</f>
        <v>241727</v>
      </c>
      <c r="O549" s="92">
        <f t="shared" ca="1" si="237"/>
        <v>76.558392611689285</v>
      </c>
      <c r="P549" s="92">
        <f t="shared" ca="1" si="238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f>23450+35520</f>
        <v>58970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f>104000+13000+13000+13000</f>
        <v>143000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3840+12900+9125+840+4700+1232+1500+5620</f>
        <v>39757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 t="shared" si="243"/>
        <v>0</v>
      </c>
      <c r="P556" s="92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IFERROR(__xludf.DUMMYFUNCTION("IMPORTRANGE(""https://docs.google.com/spreadsheets/d/1QqKyyYR6Q21VydFLVH3TRQUabQu_ym0Zz7PgGX0-kHA/edit?usp=sharing"",""แผน!HF62"")"),0)</f>
        <v>0</v>
      </c>
      <c r="M557" s="92">
        <v>0</v>
      </c>
      <c r="N557" s="92">
        <v>0</v>
      </c>
      <c r="O557" s="92">
        <f t="shared" ca="1" si="243"/>
        <v>0</v>
      </c>
      <c r="P557" s="92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18118.1525</v>
      </c>
      <c r="J559" s="703">
        <f t="shared" si="245"/>
        <v>18118.1525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IFERROR(__xludf.DUMMYFUNCTION("IMPORTRANGE(""https://docs.google.com/spreadsheets/d/1QqKyyYR6Q21VydFLVH3TRQUabQu_ym0Zz7PgGX0-kHA/edit?usp=sharing"",""แผน!HH62"")"),18118.1525)</f>
        <v>18118.1525</v>
      </c>
      <c r="J560" s="192">
        <f t="shared" ref="J560:J561" si="247">J562+J564+J566</f>
        <v>18118</v>
      </c>
      <c r="K560" s="410">
        <f t="shared" ca="1" si="246"/>
        <v>99.999158302702213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IFERROR(__xludf.DUMMYFUNCTION("IMPORTRANGE(""https://docs.google.com/spreadsheets/d/1QqKyyYR6Q21VydFLVH3TRQUabQu_ym0Zz7PgGX0-kHA/edit?usp=sharing"",""แผน!HG62"")"),1162)</f>
        <v>1162</v>
      </c>
      <c r="J561" s="192">
        <f t="shared" si="247"/>
        <v>1162</v>
      </c>
      <c r="K561" s="410">
        <f t="shared" ca="1" si="246"/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12704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895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4966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228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448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39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IFERROR(__xludf.DUMMYFUNCTION("IMPORTRANGE(""https://docs.google.com/spreadsheets/d/1QqKyyYR6Q21VydFLVH3TRQUabQu_ym0Zz7PgGX0-kHA/edit?usp=sharing"",""แผน!HH62"")"),18118.1525)</f>
        <v>18118.1525</v>
      </c>
      <c r="J568" s="676">
        <f t="shared" ref="J568:J569" si="248">J570+J572+J574</f>
        <v>18120</v>
      </c>
      <c r="K568" s="410">
        <f t="shared" ref="K568:K569" ca="1" si="249">IF(I568&gt;0,J568*100/I568,0)</f>
        <v>100.01019695578785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IFERROR(__xludf.DUMMYFUNCTION("IMPORTRANGE(""https://docs.google.com/spreadsheets/d/1QqKyyYR6Q21VydFLVH3TRQUabQu_ym0Zz7PgGX0-kHA/edit?usp=sharing"",""แผน!HG62"")"),1162)</f>
        <v>1162</v>
      </c>
      <c r="J569" s="676">
        <f t="shared" si="248"/>
        <v>1162</v>
      </c>
      <c r="K569" s="410">
        <f t="shared" ca="1" si="249"/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12717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897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4955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226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448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39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IFERROR(__xludf.DUMMYFUNCTION("IMPORTRANGE(""https://docs.google.com/spreadsheets/d/1QqKyyYR6Q21VydFLVH3TRQUabQu_ym0Zz7PgGX0-kHA/edit?usp=sharing"",""แผน!HH62"")"),18118.1525)</f>
        <v>18118.1525</v>
      </c>
      <c r="J576" s="676">
        <f t="shared" ref="J576:J577" si="250">J578+J580+J582+J588+J590</f>
        <v>18118.1525</v>
      </c>
      <c r="K576" s="410">
        <f t="shared" ref="K576:K577" ca="1" si="251">IF(I576&gt;0,J576*100/I576,0)</f>
        <v>100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IFERROR(__xludf.DUMMYFUNCTION("IMPORTRANGE(""https://docs.google.com/spreadsheets/d/1QqKyyYR6Q21VydFLVH3TRQUabQu_ym0Zz7PgGX0-kHA/edit?usp=sharing"",""แผน!HG62"")"),1162)</f>
        <v>1162</v>
      </c>
      <c r="J577" s="676">
        <f t="shared" si="250"/>
        <v>1162</v>
      </c>
      <c r="K577" s="410">
        <f t="shared" ca="1" si="251"/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15610.637500000001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1025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 t="shared" ref="J582:J583" si="252">J584+J586</f>
        <v>517.50250000000005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 t="shared" si="252"/>
        <v>42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517.50250000000005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42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1990.0125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95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2254.8200000000002</v>
      </c>
      <c r="J592" s="703">
        <f t="shared" si="253"/>
        <v>1817.325</v>
      </c>
      <c r="K592" s="672">
        <f t="shared" ref="K592:K594" ca="1" si="254">IF(I592&gt;0,J592*100/I592,0)</f>
        <v>80.59734258166948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2">
        <f t="shared" ref="J593:J594" si="255">J595+J603+J609</f>
        <v>1817.325</v>
      </c>
      <c r="K593" s="410">
        <f t="shared" ca="1" si="254"/>
        <v>80.59734258166948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IFERROR(__xludf.DUMMYFUNCTION("IMPORTRANGE(""https://docs.google.com/spreadsheets/d/1QqKyyYR6Q21VydFLVH3TRQUabQu_ym0Zz7PgGX0-kHA/edit?usp=sharing"",""แผน!HI62"")"),208)</f>
        <v>208</v>
      </c>
      <c r="J594" s="192">
        <f t="shared" si="255"/>
        <v>167</v>
      </c>
      <c r="K594" s="410">
        <f t="shared" ca="1" si="254"/>
        <v>80.288461538461533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 t="shared" ref="J595:J596" si="256">J597+J599</f>
        <v>1741.7950000000001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 t="shared" si="256"/>
        <v>159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1741.7950000000001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159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 t="shared" ref="J603:J604" si="257">J605+J607</f>
        <v>66.282499999999999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 t="shared" si="257"/>
        <v>6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66.282499999999999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6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9.2475000000000005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2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t="shared" ref="L629:N629" ca="1" si="263">L630+L631</f>
        <v>329630</v>
      </c>
      <c r="M629" s="194">
        <f t="shared" ca="1" si="263"/>
        <v>153173.60999999999</v>
      </c>
      <c r="N629" s="194">
        <f t="shared" si="263"/>
        <v>153173.60999999999</v>
      </c>
      <c r="O629" s="194">
        <f t="shared" ref="O629:O634" ca="1" si="264">IF(L629&gt;0,N629*100/L629,0)</f>
        <v>46.46834632770075</v>
      </c>
      <c r="P629" s="194">
        <f t="shared" ref="P629:P634" ca="1" si="265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266">L633+L640</f>
        <v>0</v>
      </c>
      <c r="M630" s="92">
        <f t="shared" si="266"/>
        <v>0</v>
      </c>
      <c r="N630" s="92">
        <f t="shared" si="266"/>
        <v>0</v>
      </c>
      <c r="O630" s="92">
        <f t="shared" si="264"/>
        <v>0</v>
      </c>
      <c r="P630" s="92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266"/>
        <v>329630</v>
      </c>
      <c r="M631" s="92">
        <f t="shared" ca="1" si="266"/>
        <v>153173.60999999999</v>
      </c>
      <c r="N631" s="92">
        <f t="shared" si="266"/>
        <v>153173.60999999999</v>
      </c>
      <c r="O631" s="92">
        <f t="shared" ca="1" si="264"/>
        <v>46.46834632770075</v>
      </c>
      <c r="P631" s="92">
        <f t="shared" ca="1" si="265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t="shared" ref="L632:N632" ca="1" si="267">L633+L634</f>
        <v>329630</v>
      </c>
      <c r="M632" s="497">
        <f t="shared" ca="1" si="267"/>
        <v>153173.60999999999</v>
      </c>
      <c r="N632" s="497">
        <f t="shared" si="267"/>
        <v>153173.60999999999</v>
      </c>
      <c r="O632" s="497">
        <f t="shared" ca="1" si="264"/>
        <v>46.46834632770075</v>
      </c>
      <c r="P632" s="497">
        <f t="shared" ca="1" si="265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264"/>
        <v>0</v>
      </c>
      <c r="P633" s="92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IFERROR(__xludf.DUMMYFUNCTION("IMPORTRANGE(""https://docs.google.com/spreadsheets/d/1QqKyyYR6Q21VydFLVH3TRQUabQu_ym0Zz7PgGX0-kHA/edit?usp=sharing"",""แผน!HN62"")"),329630)</f>
        <v>329630</v>
      </c>
      <c r="M634" s="92">
        <f ca="1">L634-128671.39-47785</f>
        <v>153173.60999999999</v>
      </c>
      <c r="N634" s="92">
        <f>N635+N636+N637+N638</f>
        <v>153173.60999999999</v>
      </c>
      <c r="O634" s="92">
        <f t="shared" ca="1" si="264"/>
        <v>46.46834632770075</v>
      </c>
      <c r="P634" s="92">
        <f t="shared" ca="1" si="265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f>64535.72+12133.34+10064.55+13000+13000+13000+13000-866.66</f>
        <v>137866.94999999998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2000+9000+2440+1000+866.66</f>
        <v>15306.66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 t="shared" si="269"/>
        <v>0</v>
      </c>
      <c r="P640" s="92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IFERROR(__xludf.DUMMYFUNCTION("IMPORTRANGE(""https://docs.google.com/spreadsheets/d/1QqKyyYR6Q21VydFLVH3TRQUabQu_ym0Zz7PgGX0-kHA/edit?usp=sharing"",""แผน!HQ62"")"),0)</f>
        <v>0</v>
      </c>
      <c r="M641" s="92">
        <v>0</v>
      </c>
      <c r="N641" s="92">
        <v>0</v>
      </c>
      <c r="O641" s="92">
        <f t="shared" ca="1" si="269"/>
        <v>0</v>
      </c>
      <c r="P641" s="92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IFERROR(__xludf.DUMMYFUNCTION("IMPORTRANGE(""https://docs.google.com/spreadsheets/d/1QqKyyYR6Q21VydFLVH3TRQUabQu_ym0Zz7PgGX0-kHA/edit?usp=sharing"",""แผน!HR62"")"),0)</f>
        <v>0</v>
      </c>
      <c r="J643" s="214">
        <v>0</v>
      </c>
      <c r="K643" s="162">
        <f t="shared" ref="K643:K652" ca="1" si="271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IFERROR(__xludf.DUMMYFUNCTION("IMPORTRANGE(""https://docs.google.com/spreadsheets/d/1QqKyyYR6Q21VydFLVH3TRQUabQu_ym0Zz7PgGX0-kHA/edit?usp=sharing"",""แผน!HR62"")"),0)</f>
        <v>0</v>
      </c>
      <c r="J644" s="214">
        <v>0</v>
      </c>
      <c r="K644" s="162">
        <f t="shared" ca="1" si="271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IFERROR(__xludf.DUMMYFUNCTION("IMPORTRANGE(""https://docs.google.com/spreadsheets/d/1XWAQStnk-4SwqDmLtmXYiTMKHgktTP8We1SCoS47DrQ/edit?usp=sharing"",""จัดที่ดิน!AS62"")"),3)</f>
        <v>3</v>
      </c>
      <c r="K645" s="162">
        <f t="shared" si="271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IFERROR(__xludf.DUMMYFUNCTION("IMPORTRANGE(""https://docs.google.com/spreadsheets/d/1XWAQStnk-4SwqDmLtmXYiTMKHgktTP8We1SCoS47DrQ/edit?usp=sharing"",""จัดที่ดิน!AT62"")"),1.25)</f>
        <v>1.25</v>
      </c>
      <c r="K646" s="497">
        <f t="shared" si="271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IFERROR(__xludf.DUMMYFUNCTION("IMPORTRANGE(""https://docs.google.com/spreadsheets/d/1QqKyyYR6Q21VydFLVH3TRQUabQu_ym0Zz7PgGX0-kHA/edit?usp=sharing"",""แผน!HS62"")"),60)</f>
        <v>60</v>
      </c>
      <c r="J647" s="269">
        <f ca="1">IFERROR(__xludf.DUMMYFUNCTION("IMPORTRANGE(""https://docs.google.com/spreadsheets/d/1XWAQStnk-4SwqDmLtmXYiTMKHgktTP8We1SCoS47DrQ/edit?usp=sharing"",""จัดที่ดิน!AU62"")"),1)</f>
        <v>1</v>
      </c>
      <c r="K647" s="162">
        <f t="shared" ca="1" si="271"/>
        <v>1.6666666666666667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IFERROR(__xludf.DUMMYFUNCTION("IMPORTRANGE(""https://docs.google.com/spreadsheets/d/1XWAQStnk-4SwqDmLtmXYiTMKHgktTP8We1SCoS47DrQ/edit?usp=sharing"",""จัดที่ดิน!AV62"")"),0.52)</f>
        <v>0.52</v>
      </c>
      <c r="K648" s="497">
        <f t="shared" si="271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IFERROR(__xludf.DUMMYFUNCTION("IMPORTRANGE(""https://docs.google.com/spreadsheets/d/1QqKyyYR6Q21VydFLVH3TRQUabQu_ym0Zz7PgGX0-kHA/edit?usp=sharing"",""แผน!HS62"")"),60)</f>
        <v>60</v>
      </c>
      <c r="J649" s="269">
        <f ca="1">IFERROR(__xludf.DUMMYFUNCTION("IMPORTRANGE(""https://docs.google.com/spreadsheets/d/1XWAQStnk-4SwqDmLtmXYiTMKHgktTP8We1SCoS47DrQ/edit?usp=sharing"",""จัดที่ดิน!AW62"")"),34)</f>
        <v>34</v>
      </c>
      <c r="K649" s="162">
        <f t="shared" ca="1" si="271"/>
        <v>56.666666666666664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IFERROR(__xludf.DUMMYFUNCTION("IMPORTRANGE(""https://docs.google.com/spreadsheets/d/1XWAQStnk-4SwqDmLtmXYiTMKHgktTP8We1SCoS47DrQ/edit?usp=sharing"",""จัดที่ดิน!AX62"")"),15.77)</f>
        <v>15.77</v>
      </c>
      <c r="K650" s="497">
        <f t="shared" si="271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IFERROR(__xludf.DUMMYFUNCTION("IMPORTRANGE(""https://docs.google.com/spreadsheets/d/1QqKyyYR6Q21VydFLVH3TRQUabQu_ym0Zz7PgGX0-kHA/edit?usp=sharing"",""แผน!HS62"")"),60)</f>
        <v>60</v>
      </c>
      <c r="J651" s="269">
        <f ca="1">IFERROR(__xludf.DUMMYFUNCTION("IMPORTRANGE(""https://docs.google.com/spreadsheets/d/1XWAQStnk-4SwqDmLtmXYiTMKHgktTP8We1SCoS47DrQ/edit?usp=sharing"",""จัดที่ดิน!AY62"")"),0)</f>
        <v>0</v>
      </c>
      <c r="K651" s="162">
        <f t="shared" ca="1" si="271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271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t="shared" ref="L655:N655" ca="1" si="273">L656+L657</f>
        <v>0</v>
      </c>
      <c r="M655" s="194">
        <f t="shared" si="273"/>
        <v>0</v>
      </c>
      <c r="N655" s="194">
        <f t="shared" si="273"/>
        <v>0</v>
      </c>
      <c r="O655" s="194">
        <f t="shared" ref="O655:O660" ca="1" si="274">IF(L655&gt;0,N655*100/L655,0)</f>
        <v>0</v>
      </c>
      <c r="P655" s="194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276">L659+L666</f>
        <v>0</v>
      </c>
      <c r="M656" s="92">
        <f t="shared" si="276"/>
        <v>0</v>
      </c>
      <c r="N656" s="92">
        <f t="shared" si="276"/>
        <v>0</v>
      </c>
      <c r="O656" s="92">
        <f t="shared" si="274"/>
        <v>0</v>
      </c>
      <c r="P656" s="92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276"/>
        <v>0</v>
      </c>
      <c r="M657" s="92">
        <f t="shared" si="276"/>
        <v>0</v>
      </c>
      <c r="N657" s="92">
        <f t="shared" si="276"/>
        <v>0</v>
      </c>
      <c r="O657" s="92">
        <f t="shared" ca="1" si="274"/>
        <v>0</v>
      </c>
      <c r="P657" s="92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274"/>
        <v>0</v>
      </c>
      <c r="P659" s="92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IFERROR(__xludf.DUMMYFUNCTION("IMPORTRANGE(""https://docs.google.com/spreadsheets/d/1QqKyyYR6Q21VydFLVH3TRQUabQu_ym0Zz7PgGX0-kHA/edit?usp=sharing"",""แผน!HV62"")"),0)</f>
        <v>0</v>
      </c>
      <c r="M660" s="92">
        <v>0</v>
      </c>
      <c r="N660" s="92">
        <f>N661+N662+N663+N664</f>
        <v>0</v>
      </c>
      <c r="O660" s="92">
        <f t="shared" ca="1" si="274"/>
        <v>0</v>
      </c>
      <c r="P660" s="92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 t="shared" si="279"/>
        <v>0</v>
      </c>
      <c r="P666" s="92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 t="shared" si="279"/>
        <v>0</v>
      </c>
      <c r="P667" s="92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IFERROR(__xludf.DUMMYFUNCTION("IMPORTRANGE(""https://docs.google.com/spreadsheets/d/1QqKyyYR6Q21VydFLVH3TRQUabQu_ym0Zz7PgGX0-kHA/edit?usp=sharing"",""แผน!HZ62"")"),0)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IFERROR(__xludf.DUMMYFUNCTION("IMPORTRANGE(""https://docs.google.com/spreadsheets/d/1QqKyyYR6Q21VydFLVH3TRQUabQu_ym0Zz7PgGX0-kHA/edit?usp=sharing"",""แผน!HZ62"")"),0)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t="shared" ca="1" si="281"/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t="shared" ca="1" si="281"/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t="shared" ca="1" si="281"/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t="shared" ref="L685:N685" ca="1" si="282">L686+L687</f>
        <v>0</v>
      </c>
      <c r="M685" s="194">
        <f t="shared" si="282"/>
        <v>0</v>
      </c>
      <c r="N685" s="194">
        <f t="shared" si="282"/>
        <v>0</v>
      </c>
      <c r="O685" s="194">
        <f t="shared" ref="O685:O688" ca="1" si="283">IF(L685&gt;0,N685*100/L685,0)</f>
        <v>0</v>
      </c>
      <c r="P685" s="194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285">L689+L696</f>
        <v>0</v>
      </c>
      <c r="M686" s="92">
        <f t="shared" si="285"/>
        <v>0</v>
      </c>
      <c r="N686" s="92">
        <f t="shared" si="285"/>
        <v>0</v>
      </c>
      <c r="O686" s="92">
        <f t="shared" si="283"/>
        <v>0</v>
      </c>
      <c r="P686" s="92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285"/>
        <v>0</v>
      </c>
      <c r="M687" s="92">
        <f t="shared" si="285"/>
        <v>0</v>
      </c>
      <c r="N687" s="92">
        <f t="shared" si="285"/>
        <v>0</v>
      </c>
      <c r="O687" s="92">
        <f t="shared" ca="1" si="283"/>
        <v>0</v>
      </c>
      <c r="P687" s="92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IFERROR(__xludf.DUMMYFUNCTION("IMPORTRANGE(""https://docs.google.com/spreadsheets/d/1QqKyyYR6Q21VydFLVH3TRQUabQu_ym0Zz7PgGX0-kHA/edit?usp=sharing"",""แผน!HW62"")"),0)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 t="shared" si="288"/>
        <v>0</v>
      </c>
      <c r="P696" s="92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 t="shared" si="288"/>
        <v>0</v>
      </c>
      <c r="P697" s="92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69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69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4">
        <f t="shared" ca="1" si="290"/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69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4">
        <f t="shared" ca="1" si="291"/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4">
        <f t="shared" ca="1" si="291"/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69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69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69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69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4">
        <f t="shared" ca="1" si="293"/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297">L741+L748</f>
        <v>0</v>
      </c>
      <c r="M738" s="92">
        <f t="shared" si="297"/>
        <v>0</v>
      </c>
      <c r="N738" s="92">
        <f t="shared" si="297"/>
        <v>0</v>
      </c>
      <c r="O738" s="92">
        <f t="shared" si="295"/>
        <v>0</v>
      </c>
      <c r="P738" s="92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297"/>
        <v>0</v>
      </c>
      <c r="M739" s="92">
        <f t="shared" si="297"/>
        <v>0</v>
      </c>
      <c r="N739" s="92">
        <f t="shared" si="297"/>
        <v>0</v>
      </c>
      <c r="O739" s="92">
        <f t="shared" si="295"/>
        <v>0</v>
      </c>
      <c r="P739" s="92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295"/>
        <v>0</v>
      </c>
      <c r="P741" s="92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295"/>
        <v>0</v>
      </c>
      <c r="P742" s="92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 t="shared" si="300"/>
        <v>0</v>
      </c>
      <c r="P748" s="92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 t="shared" si="300"/>
        <v>0</v>
      </c>
      <c r="P749" s="92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305">L758+L765</f>
        <v>0</v>
      </c>
      <c r="M755" s="92">
        <f t="shared" si="305"/>
        <v>0</v>
      </c>
      <c r="N755" s="92">
        <f t="shared" si="305"/>
        <v>0</v>
      </c>
      <c r="O755" s="92">
        <f t="shared" si="303"/>
        <v>0</v>
      </c>
      <c r="P755" s="92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305"/>
        <v>0</v>
      </c>
      <c r="M756" s="92">
        <f t="shared" si="305"/>
        <v>0</v>
      </c>
      <c r="N756" s="92">
        <f t="shared" si="305"/>
        <v>0</v>
      </c>
      <c r="O756" s="92">
        <f t="shared" si="303"/>
        <v>0</v>
      </c>
      <c r="P756" s="92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303"/>
        <v>0</v>
      </c>
      <c r="P758" s="92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303"/>
        <v>0</v>
      </c>
      <c r="P759" s="92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 t="shared" si="308"/>
        <v>0</v>
      </c>
      <c r="P765" s="92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 t="shared" si="308"/>
        <v>0</v>
      </c>
      <c r="P766" s="92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313">L774+L781</f>
        <v>0</v>
      </c>
      <c r="M771" s="92">
        <f t="shared" si="313"/>
        <v>0</v>
      </c>
      <c r="N771" s="92">
        <f t="shared" si="313"/>
        <v>0</v>
      </c>
      <c r="O771" s="92">
        <f t="shared" si="311"/>
        <v>0</v>
      </c>
      <c r="P771" s="92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313"/>
        <v>0</v>
      </c>
      <c r="M772" s="92">
        <f t="shared" si="313"/>
        <v>0</v>
      </c>
      <c r="N772" s="92">
        <f t="shared" si="313"/>
        <v>0</v>
      </c>
      <c r="O772" s="92">
        <f t="shared" si="311"/>
        <v>0</v>
      </c>
      <c r="P772" s="92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311"/>
        <v>0</v>
      </c>
      <c r="P774" s="92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311"/>
        <v>0</v>
      </c>
      <c r="P775" s="92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 t="shared" si="316"/>
        <v>0</v>
      </c>
      <c r="P781" s="92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 t="shared" si="316"/>
        <v>0</v>
      </c>
      <c r="P782" s="92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t="shared" ref="I785:J785" ca="1" si="318">I800</f>
        <v>0</v>
      </c>
      <c r="J785" s="845">
        <f t="shared" ca="1" si="318"/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t="shared" ref="L786:N786" ca="1" si="319">L787+L788</f>
        <v>0</v>
      </c>
      <c r="M786" s="194">
        <f t="shared" si="319"/>
        <v>0</v>
      </c>
      <c r="N786" s="194">
        <f t="shared" si="319"/>
        <v>0</v>
      </c>
      <c r="O786" s="194">
        <f t="shared" ref="O786:O791" ca="1" si="320">IF(L786&gt;0,N786*100/L786,0)</f>
        <v>0</v>
      </c>
      <c r="P786" s="194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322">L790+L797</f>
        <v>0</v>
      </c>
      <c r="M787" s="92">
        <f t="shared" si="322"/>
        <v>0</v>
      </c>
      <c r="N787" s="92">
        <f t="shared" si="322"/>
        <v>0</v>
      </c>
      <c r="O787" s="92">
        <f t="shared" si="320"/>
        <v>0</v>
      </c>
      <c r="P787" s="92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322"/>
        <v>0</v>
      </c>
      <c r="M788" s="92">
        <f t="shared" si="322"/>
        <v>0</v>
      </c>
      <c r="N788" s="92">
        <f t="shared" si="322"/>
        <v>0</v>
      </c>
      <c r="O788" s="92">
        <f t="shared" ca="1" si="320"/>
        <v>0</v>
      </c>
      <c r="P788" s="92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320"/>
        <v>0</v>
      </c>
      <c r="P790" s="92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IFERROR(__xludf.DUMMYFUNCTION("IMPORTRANGE(""https://docs.google.com/spreadsheets/d/1QqKyyYR6Q21VydFLVH3TRQUabQu_ym0Zz7PgGX0-kHA/edit?usp=sharing"",""แผน!JJ62"")"),0)</f>
        <v>0</v>
      </c>
      <c r="M791" s="92">
        <v>0</v>
      </c>
      <c r="N791" s="92">
        <f>N792+N793+N794+N795</f>
        <v>0</v>
      </c>
      <c r="O791" s="92">
        <f t="shared" ca="1" si="320"/>
        <v>0</v>
      </c>
      <c r="P791" s="92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 t="shared" si="325"/>
        <v>0</v>
      </c>
      <c r="P797" s="92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 t="shared" si="325"/>
        <v>0</v>
      </c>
      <c r="P798" s="92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IFERROR(__xludf.DUMMYFUNCTION("IMPORTRANGE(""https://docs.google.com/spreadsheets/d/1QqKyyYR6Q21VydFLVH3TRQUabQu_ym0Zz7PgGX0-kHA/edit?usp=sharing"",""แผน!JN62"")"),0)</f>
        <v>0</v>
      </c>
      <c r="J800" s="183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330">L809+L816</f>
        <v>0</v>
      </c>
      <c r="M806" s="92">
        <f t="shared" si="330"/>
        <v>0</v>
      </c>
      <c r="N806" s="92">
        <f t="shared" si="330"/>
        <v>0</v>
      </c>
      <c r="O806" s="92">
        <f t="shared" si="328"/>
        <v>0</v>
      </c>
      <c r="P806" s="92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330"/>
        <v>0</v>
      </c>
      <c r="M807" s="92">
        <f t="shared" si="330"/>
        <v>0</v>
      </c>
      <c r="N807" s="92">
        <f t="shared" si="330"/>
        <v>0</v>
      </c>
      <c r="O807" s="92">
        <f t="shared" si="328"/>
        <v>0</v>
      </c>
      <c r="P807" s="92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328"/>
        <v>0</v>
      </c>
      <c r="P809" s="92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328"/>
        <v>0</v>
      </c>
      <c r="P810" s="92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 t="shared" si="333"/>
        <v>0</v>
      </c>
      <c r="P816" s="92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 t="shared" si="333"/>
        <v>0</v>
      </c>
      <c r="P817" s="92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IFERROR(__xludf.DUMMYFUNCTION("IMPORTRANGE(""https://docs.google.com/spreadsheets/d/19vJNZY_5yjcGF2XGBMNZRCAIB0Kwfpjp8YEOfu-bneM/edit?usp=sharing"",""งานกองทุน!D62"")"),1993388.28)</f>
        <v>1993388.28</v>
      </c>
      <c r="J821" s="269">
        <f ca="1">IFERROR(__xludf.DUMMYFUNCTION("IMPORTRANGE(""https://docs.google.com/spreadsheets/d/19vJNZY_5yjcGF2XGBMNZRCAIB0Kwfpjp8YEOfu-bneM/edit?usp=sharing"",""งานกองทุน!F62"")"),1976990.82)</f>
        <v>1976990.82</v>
      </c>
      <c r="K821" s="497">
        <f t="shared" ref="K821:K828" ca="1" si="335">IF(I821&gt;0,J821*100/I821,0)</f>
        <v>99.177407624770424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IFERROR(__xludf.DUMMYFUNCTION("IMPORTRANGE(""https://docs.google.com/spreadsheets/d/19vJNZY_5yjcGF2XGBMNZRCAIB0Kwfpjp8YEOfu-bneM/edit?usp=sharing"",""งานกองทุน!C62"")"),141)</f>
        <v>141</v>
      </c>
      <c r="J822" s="269">
        <f ca="1">IFERROR(__xludf.DUMMYFUNCTION("IMPORTRANGE(""https://docs.google.com/spreadsheets/d/19vJNZY_5yjcGF2XGBMNZRCAIB0Kwfpjp8YEOfu-bneM/edit?usp=sharing"",""งานกองทุน!E62"")"),139)</f>
        <v>139</v>
      </c>
      <c r="K822" s="497">
        <f t="shared" ca="1" si="335"/>
        <v>98.581560283687949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69">
        <f ca="1">IFERROR(__xludf.DUMMYFUNCTION("IMPORTRANGE(""https://docs.google.com/spreadsheets/d/19vJNZY_5yjcGF2XGBMNZRCAIB0Kwfpjp8YEOfu-bneM/edit?usp=sharing"",""งานกองทุน!K62"")"),82270.14)</f>
        <v>82270.14</v>
      </c>
      <c r="K823" s="497">
        <f t="shared" ca="1" si="335"/>
        <v>35.90443318400164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IFERROR(__xludf.DUMMYFUNCTION("IMPORTRANGE(""https://docs.google.com/spreadsheets/d/19vJNZY_5yjcGF2XGBMNZRCAIB0Kwfpjp8YEOfu-bneM/edit?usp=sharing"",""งานกองทุน!H62"")"),16)</f>
        <v>16</v>
      </c>
      <c r="J824" s="269">
        <f ca="1">IFERROR(__xludf.DUMMYFUNCTION("IMPORTRANGE(""https://docs.google.com/spreadsheets/d/19vJNZY_5yjcGF2XGBMNZRCAIB0Kwfpjp8YEOfu-bneM/edit?usp=sharing"",""งานกองทุน!J62"")"),15)</f>
        <v>15</v>
      </c>
      <c r="K824" s="497">
        <f t="shared" ca="1" si="335"/>
        <v>93.75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IFERROR(__xludf.DUMMYFUNCTION("IMPORTRANGE(""https://docs.google.com/spreadsheets/d/19vJNZY_5yjcGF2XGBMNZRCAIB0Kwfpjp8YEOfu-bneM/edit?usp=sharing"",""งานกองทุน!N62"")"),231.96)</f>
        <v>231.96</v>
      </c>
      <c r="J825" s="269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IFERROR(__xludf.DUMMYFUNCTION("IMPORTRANGE(""https://docs.google.com/spreadsheets/d/19vJNZY_5yjcGF2XGBMNZRCAIB0Kwfpjp8YEOfu-bneM/edit?usp=sharing"",""งานกองทุน!M62"")"),1)</f>
        <v>1</v>
      </c>
      <c r="J826" s="269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IFERROR(__xludf.DUMMYFUNCTION("IMPORTRANGE(""https://docs.google.com/spreadsheets/d/19vJNZY_5yjcGF2XGBMNZRCAIB0Kwfpjp8YEOfu-bneM/edit?usp=sharing"",""งานกองทุน!S62"")"),2000000)</f>
        <v>2000000</v>
      </c>
      <c r="J827" s="269">
        <f ca="1">IFERROR(__xludf.DUMMYFUNCTION("IMPORTRANGE(""https://docs.google.com/spreadsheets/d/19vJNZY_5yjcGF2XGBMNZRCAIB0Kwfpjp8YEOfu-bneM/edit?usp=sharing"",""งานกองทุน!U62"")"),3300000)</f>
        <v>3300000</v>
      </c>
      <c r="K827" s="497">
        <f t="shared" ca="1" si="335"/>
        <v>165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IFERROR(__xludf.DUMMYFUNCTION("IMPORTRANGE(""https://docs.google.com/spreadsheets/d/19vJNZY_5yjcGF2XGBMNZRCAIB0Kwfpjp8YEOfu-bneM/edit?usp=sharing"",""งานกองทุน!T62"")"),77)</f>
        <v>77</v>
      </c>
      <c r="K828" s="502">
        <f t="shared" ca="1" si="335"/>
        <v>116.66666666666667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7D183-812D-473D-B7FC-5C948FED3818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5.85546875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352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3775253</v>
      </c>
      <c r="M8" s="21">
        <f ca="1">M9+M10</f>
        <v>3924455.66</v>
      </c>
      <c r="N8" s="21">
        <f ca="1">N9+N10</f>
        <v>3924453.3099999996</v>
      </c>
      <c r="O8" s="21">
        <f t="shared" ref="O8:O16" ca="1" si="0">IF(L8&gt;0,N8*100/L8,0)</f>
        <v>103.9520612260953</v>
      </c>
      <c r="P8" s="21">
        <f t="shared" ref="P8:P16" ca="1" si="1">IF(M8&gt;0,N8*100/M8,0)</f>
        <v>99.999940119083917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3775253</v>
      </c>
      <c r="M10" s="29">
        <f t="shared" ca="1" si="2"/>
        <v>3924455.66</v>
      </c>
      <c r="N10" s="29">
        <f t="shared" ca="1" si="2"/>
        <v>3924453.3099999996</v>
      </c>
      <c r="O10" s="29">
        <f t="shared" ca="1" si="0"/>
        <v>103.9520612260953</v>
      </c>
      <c r="P10" s="29">
        <f t="shared" ca="1" si="1"/>
        <v>99.999940119083917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3173853</v>
      </c>
      <c r="M11" s="497">
        <f ca="1">M12+M13</f>
        <v>3323055.66</v>
      </c>
      <c r="N11" s="497">
        <f ca="1">N12+N13</f>
        <v>3323053.3099999996</v>
      </c>
      <c r="O11" s="497">
        <f t="shared" ca="1" si="0"/>
        <v>104.70092061604616</v>
      </c>
      <c r="P11" s="497">
        <f t="shared" ca="1" si="1"/>
        <v>99.999929281954891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3173853</v>
      </c>
      <c r="M13" s="92">
        <f t="shared" ca="1" si="3"/>
        <v>3323055.66</v>
      </c>
      <c r="N13" s="92">
        <f t="shared" ca="1" si="3"/>
        <v>3323053.3099999996</v>
      </c>
      <c r="O13" s="92">
        <f t="shared" ca="1" si="0"/>
        <v>104.70092061604616</v>
      </c>
      <c r="P13" s="92">
        <f t="shared" ca="1" si="1"/>
        <v>99.999929281954891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601400</v>
      </c>
      <c r="M14" s="497">
        <f ca="1">M15+M16</f>
        <v>601400</v>
      </c>
      <c r="N14" s="497">
        <f ca="1">N15+N16</f>
        <v>601400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601400</v>
      </c>
      <c r="M16" s="51">
        <f t="shared" ca="1" si="4"/>
        <v>601400</v>
      </c>
      <c r="N16" s="51">
        <f t="shared" ca="1" si="4"/>
        <v>601400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3051710</v>
      </c>
      <c r="M18" s="21">
        <f ca="1">M19+M20</f>
        <v>3183192.66</v>
      </c>
      <c r="N18" s="21">
        <f ca="1">N19+N20</f>
        <v>3183190.3099999996</v>
      </c>
      <c r="O18" s="21">
        <f t="shared" ref="O18:O26" ca="1" si="5">IF(L18&gt;0,N18*100/L18,0)</f>
        <v>104.30841429886848</v>
      </c>
      <c r="P18" s="21">
        <f t="shared" ref="P18:P26" ca="1" si="6">IF(M18&gt;0,N18*100/M18,0)</f>
        <v>99.999926174748069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3051710</v>
      </c>
      <c r="M20" s="29">
        <f t="shared" ca="1" si="7"/>
        <v>3183192.66</v>
      </c>
      <c r="N20" s="29">
        <f t="shared" ca="1" si="7"/>
        <v>3183190.3099999996</v>
      </c>
      <c r="O20" s="29">
        <f t="shared" ca="1" si="5"/>
        <v>104.30841429886848</v>
      </c>
      <c r="P20" s="29">
        <f t="shared" ca="1" si="6"/>
        <v>99.999926174748069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2450310</v>
      </c>
      <c r="M21" s="497">
        <f ca="1">M22+M23</f>
        <v>2581792.66</v>
      </c>
      <c r="N21" s="497">
        <f ca="1">N22+N23</f>
        <v>2581790.3099999996</v>
      </c>
      <c r="O21" s="497">
        <f t="shared" ca="1" si="5"/>
        <v>105.36586431920858</v>
      </c>
      <c r="P21" s="497">
        <f t="shared" ca="1" si="6"/>
        <v>99.999908977973448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2450310</v>
      </c>
      <c r="M23" s="92">
        <f t="shared" ca="1" si="8"/>
        <v>2581792.66</v>
      </c>
      <c r="N23" s="92">
        <f t="shared" ca="1" si="8"/>
        <v>2581790.3099999996</v>
      </c>
      <c r="O23" s="92">
        <f t="shared" ca="1" si="5"/>
        <v>105.36586431920858</v>
      </c>
      <c r="P23" s="92">
        <f t="shared" ca="1" si="6"/>
        <v>99.999908977973448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601400</v>
      </c>
      <c r="M24" s="497">
        <f ca="1">M25+M26</f>
        <v>601400</v>
      </c>
      <c r="N24" s="497">
        <f ca="1">N25+N26</f>
        <v>601400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601400</v>
      </c>
      <c r="M26" s="51">
        <f t="shared" ca="1" si="9"/>
        <v>601400</v>
      </c>
      <c r="N26" s="51">
        <f t="shared" ca="1" si="9"/>
        <v>601400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723543</v>
      </c>
      <c r="M28" s="21">
        <f ca="1">M29+M30</f>
        <v>741263</v>
      </c>
      <c r="N28" s="21">
        <f>N29+N30</f>
        <v>741263</v>
      </c>
      <c r="O28" s="21">
        <f t="shared" ref="O28:O37" ca="1" si="10">IF(L28&gt;0,N28*100/L28,0)</f>
        <v>102.44905969652115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723543</v>
      </c>
      <c r="M30" s="29">
        <f t="shared" ca="1" si="12"/>
        <v>741263</v>
      </c>
      <c r="N30" s="29">
        <f t="shared" si="12"/>
        <v>741263</v>
      </c>
      <c r="O30" s="29">
        <f t="shared" ca="1" si="10"/>
        <v>102.44905969652115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723543</v>
      </c>
      <c r="M31" s="497">
        <f ca="1">M32+M33</f>
        <v>741263</v>
      </c>
      <c r="N31" s="497">
        <f>N32+N33</f>
        <v>741263</v>
      </c>
      <c r="O31" s="497">
        <f t="shared" ca="1" si="10"/>
        <v>102.44905969652115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723543</v>
      </c>
      <c r="M33" s="92">
        <f t="shared" ca="1" si="13"/>
        <v>741263</v>
      </c>
      <c r="N33" s="92">
        <f t="shared" si="13"/>
        <v>741263</v>
      </c>
      <c r="O33" s="92">
        <f t="shared" ca="1" si="10"/>
        <v>102.44905969652115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3051710</v>
      </c>
      <c r="M37" s="58">
        <f ca="1">M41+M53+M66+M88+M119+M132+M149+M165+M181+M261+M277+M298+M315+M328+M345+M389+M402</f>
        <v>3183192.66</v>
      </c>
      <c r="N37" s="58">
        <f ca="1">N41+N53+N66+N88+N119+N132+N149+N165+N181+N261+N277+N298+N315+N328+N345+N389+N402</f>
        <v>3183190.3099999996</v>
      </c>
      <c r="O37" s="58">
        <f t="shared" ca="1" si="10"/>
        <v>104.30841429886848</v>
      </c>
      <c r="P37" s="58">
        <f t="shared" ca="1" si="11"/>
        <v>99.999926174748069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313950</v>
      </c>
      <c r="M41" s="84">
        <f ca="1">M42+M43</f>
        <v>275585</v>
      </c>
      <c r="N41" s="84">
        <f ca="1">N42+N43</f>
        <v>275585</v>
      </c>
      <c r="O41" s="84">
        <f t="shared" ref="O41:O49" ca="1" si="15">IF(L41&gt;0,N41*100/L41,0)</f>
        <v>87.779901258162127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313950</v>
      </c>
      <c r="M43" s="91">
        <f t="shared" ca="1" si="17"/>
        <v>275585</v>
      </c>
      <c r="N43" s="91">
        <f t="shared" ca="1" si="17"/>
        <v>275585</v>
      </c>
      <c r="O43" s="91">
        <f t="shared" ca="1" si="15"/>
        <v>87.779901258162127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313950</v>
      </c>
      <c r="M44" s="497">
        <f ca="1">M45+M46</f>
        <v>275585</v>
      </c>
      <c r="N44" s="497">
        <f ca="1">N45+N46</f>
        <v>275585</v>
      </c>
      <c r="O44" s="497">
        <f t="shared" ca="1" si="15"/>
        <v>87.779901258162127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IFERROR(__xludf.DUMMYFUNCTION("IMPORTRANGE(""https://docs.google.com/spreadsheets/d/1MeEWN-I1oV_STSDYn1IFDPWt_1FKiwhDph83XaGc0o0/edit?usp=sharing"",""งบพรบ!M63"")"),313950)</f>
        <v>313950</v>
      </c>
      <c r="M46" s="92">
        <f ca="1">IFERROR(__xludf.DUMMYFUNCTION("IMPORTRANGE(""https://docs.google.com/spreadsheets/d/1MeEWN-I1oV_STSDYn1IFDPWt_1FKiwhDph83XaGc0o0/edit?usp=sharing"",""งบพรบ!R63"")"),275585)</f>
        <v>275585</v>
      </c>
      <c r="N46" s="92">
        <f ca="1">IFERROR(__xludf.DUMMYFUNCTION("IMPORTRANGE(""https://docs.google.com/spreadsheets/d/1MeEWN-I1oV_STSDYn1IFDPWt_1FKiwhDph83XaGc0o0/edit?usp=sharing"",""งบพรบ!T63"")"),275585)</f>
        <v>275585</v>
      </c>
      <c r="O46" s="92">
        <f t="shared" ca="1" si="15"/>
        <v>87.779901258162127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IFERROR(__xludf.DUMMYFUNCTION("IMPORTRANGE(""https://docs.google.com/spreadsheets/d/1MeEWN-I1oV_STSDYn1IFDPWt_1FKiwhDph83XaGc0o0/edit?usp=sharing"",""งบพรบ!P63"")"),0)</f>
        <v>0</v>
      </c>
      <c r="M49" s="51">
        <f ca="1">IFERROR(__xludf.DUMMYFUNCTION("IMPORTRANGE(""https://docs.google.com/spreadsheets/d/1MeEWN-I1oV_STSDYn1IFDPWt_1FKiwhDph83XaGc0o0/edit?usp=sharing"",""งบพรบ!S63"")"),0)</f>
        <v>0</v>
      </c>
      <c r="N49" s="51">
        <f ca="1">IFERROR(__xludf.DUMMYFUNCTION("IMPORTRANGE(""https://docs.google.com/spreadsheets/d/1MeEWN-I1oV_STSDYn1IFDPWt_1FKiwhDph83XaGc0o0/edit?usp=sharing"",""งบพรบ!U63"")"),0)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334000</v>
      </c>
      <c r="M53" s="115">
        <f ca="1">M54+M55</f>
        <v>392149.66</v>
      </c>
      <c r="N53" s="115">
        <f ca="1">N54+N55</f>
        <v>392149.66</v>
      </c>
      <c r="O53" s="115">
        <f t="shared" ref="O53:O61" ca="1" si="18">IF(L53&gt;0,N53*100/L53,0)</f>
        <v>117.41007784431137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334000</v>
      </c>
      <c r="M55" s="122">
        <f t="shared" ca="1" si="20"/>
        <v>392149.66</v>
      </c>
      <c r="N55" s="122">
        <f t="shared" ca="1" si="20"/>
        <v>392149.66</v>
      </c>
      <c r="O55" s="122">
        <f t="shared" ca="1" si="18"/>
        <v>117.41007784431137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334000</v>
      </c>
      <c r="M56" s="497">
        <f ca="1">M57+M58</f>
        <v>392149.66</v>
      </c>
      <c r="N56" s="497">
        <f ca="1">N57+N58</f>
        <v>392149.66</v>
      </c>
      <c r="O56" s="497">
        <f t="shared" ca="1" si="18"/>
        <v>117.41007784431137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IFERROR(__xludf.DUMMYFUNCTION("IMPORTRANGE(""https://docs.google.com/spreadsheets/d/1MeEWN-I1oV_STSDYn1IFDPWt_1FKiwhDph83XaGc0o0/edit?usp=sharing"",""งบพรบ!W63"")"),334000)</f>
        <v>334000</v>
      </c>
      <c r="M58" s="92">
        <f ca="1">IFERROR(__xludf.DUMMYFUNCTION("IMPORTRANGE(""https://docs.google.com/spreadsheets/d/1MeEWN-I1oV_STSDYn1IFDPWt_1FKiwhDph83XaGc0o0/edit?usp=sharing"",""งบพรบ!AB63"")"),392149.66)</f>
        <v>392149.66</v>
      </c>
      <c r="N58" s="92">
        <f ca="1">IFERROR(__xludf.DUMMYFUNCTION("IMPORTRANGE(""https://docs.google.com/spreadsheets/d/1MeEWN-I1oV_STSDYn1IFDPWt_1FKiwhDph83XaGc0o0/edit?usp=sharing"",""งบพรบ!AD63"")"),392149.66)</f>
        <v>392149.66</v>
      </c>
      <c r="O58" s="92">
        <f t="shared" ca="1" si="18"/>
        <v>117.41007784431137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IFERROR(__xludf.DUMMYFUNCTION("IMPORTRANGE(""https://docs.google.com/spreadsheets/d/1MeEWN-I1oV_STSDYn1IFDPWt_1FKiwhDph83XaGc0o0/edit?usp=sharing"",""งบพรบ!Z63"")"),0)</f>
        <v>0</v>
      </c>
      <c r="M61" s="51">
        <f ca="1">IFERROR(__xludf.DUMMYFUNCTION("IMPORTRANGE(""https://docs.google.com/spreadsheets/d/1MeEWN-I1oV_STSDYn1IFDPWt_1FKiwhDph83XaGc0o0/edit?usp=sharing"",""งบพรบ!AC63"")"),0)</f>
        <v>0</v>
      </c>
      <c r="N61" s="51">
        <f ca="1">IFERROR(__xludf.DUMMYFUNCTION("IMPORTRANGE(""https://docs.google.com/spreadsheets/d/1MeEWN-I1oV_STSDYn1IFDPWt_1FKiwhDph83XaGc0o0/edit?usp=sharing"",""งบพรบ!AE63"")"),0)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IFERROR(__xludf.DUMMYFUNCTION("IMPORTRANGE(""https://docs.google.com/spreadsheets/d/1MeEWN-I1oV_STSDYn1IFDPWt_1FKiwhDph83XaGc0o0/edit?usp=sharing"",""งบพรบ!AG63"")"),0)</f>
        <v>0</v>
      </c>
      <c r="M71" s="92">
        <f ca="1">IFERROR(__xludf.DUMMYFUNCTION("IMPORTRANGE(""https://docs.google.com/spreadsheets/d/1MeEWN-I1oV_STSDYn1IFDPWt_1FKiwhDph83XaGc0o0/edit?usp=sharing"",""งบพรบ!AL63"")"),0)</f>
        <v>0</v>
      </c>
      <c r="N71" s="92">
        <f ca="1">IFERROR(__xludf.DUMMYFUNCTION("IMPORTRANGE(""https://docs.google.com/spreadsheets/d/1MeEWN-I1oV_STSDYn1IFDPWt_1FKiwhDph83XaGc0o0/edit?usp=sharing"",""งบพรบ!AN63"")"),0)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IFERROR(__xludf.DUMMYFUNCTION("IMPORTRANGE(""https://docs.google.com/spreadsheets/d/1MeEWN-I1oV_STSDYn1IFDPWt_1FKiwhDph83XaGc0o0/edit?usp=sharing"",""งบพรบ!AJ63"")"),0)</f>
        <v>0</v>
      </c>
      <c r="M74" s="92">
        <f ca="1">IFERROR(__xludf.DUMMYFUNCTION("IMPORTRANGE(""https://docs.google.com/spreadsheets/d/1MeEWN-I1oV_STSDYn1IFDPWt_1FKiwhDph83XaGc0o0/edit?usp=sharing"",""งบพรบ!AM63"")"),0)</f>
        <v>0</v>
      </c>
      <c r="N74" s="92">
        <f ca="1">IFERROR(__xludf.DUMMYFUNCTION("IMPORTRANGE(""https://docs.google.com/spreadsheets/d/1MeEWN-I1oV_STSDYn1IFDPWt_1FKiwhDph83XaGc0o0/edit?usp=sharing"",""งบพรบ!AO63"")"),0)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IFERROR(__xludf.DUMMYFUNCTION("IMPORTRANGE(""https://docs.google.com/spreadsheets/d/1QqKyyYR6Q21VydFLVH3TRQUabQu_ym0Zz7PgGX0-kHA/edit?usp=sharing"",""แผน!D63"")"),0)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IFERROR(__xludf.DUMMYFUNCTION("IMPORTRANGE(""https://docs.google.com/spreadsheets/d/1QqKyyYR6Q21VydFLVH3TRQUabQu_ym0Zz7PgGX0-kHA/edit?usp=sharing"",""แผน!E63"")"),0)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IFERROR(__xludf.DUMMYFUNCTION("IMPORTRANGE(""https://docs.google.com/spreadsheets/d/1QqKyyYR6Q21VydFLVH3TRQUabQu_ym0Zz7PgGX0-kHA/edit?usp=sharing"",""แผน!J63"")"),0)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85840</v>
      </c>
      <c r="M88" s="154">
        <f ca="1">M89+M90</f>
        <v>96640</v>
      </c>
      <c r="N88" s="154">
        <f ca="1">N89+N90</f>
        <v>96640</v>
      </c>
      <c r="O88" s="154">
        <f t="shared" ref="O88:O96" ca="1" si="25">IF(L88&gt;0,N88*100/L88,0)</f>
        <v>112.58154706430568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85840</v>
      </c>
      <c r="M90" s="92">
        <f t="shared" ca="1" si="27"/>
        <v>96640</v>
      </c>
      <c r="N90" s="92">
        <f t="shared" ca="1" si="27"/>
        <v>96640</v>
      </c>
      <c r="O90" s="92">
        <f t="shared" ca="1" si="25"/>
        <v>112.58154706430568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85840</v>
      </c>
      <c r="M91" s="497">
        <f ca="1">M92+M93</f>
        <v>96640</v>
      </c>
      <c r="N91" s="497">
        <f ca="1">N92+N93</f>
        <v>96640</v>
      </c>
      <c r="O91" s="497">
        <f t="shared" ca="1" si="25"/>
        <v>112.58154706430568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IFERROR(__xludf.DUMMYFUNCTION("IMPORTRANGE(""https://docs.google.com/spreadsheets/d/1MeEWN-I1oV_STSDYn1IFDPWt_1FKiwhDph83XaGc0o0/edit?usp=sharing"",""งบพรบ!AQ63"")"),85840)</f>
        <v>85840</v>
      </c>
      <c r="M93" s="92">
        <f ca="1">IFERROR(__xludf.DUMMYFUNCTION("IMPORTRANGE(""https://docs.google.com/spreadsheets/d/1MeEWN-I1oV_STSDYn1IFDPWt_1FKiwhDph83XaGc0o0/edit?usp=sharing"",""งบพรบ!AV63"")"),96640)</f>
        <v>96640</v>
      </c>
      <c r="N93" s="92">
        <f ca="1">IFERROR(__xludf.DUMMYFUNCTION("IMPORTRANGE(""https://docs.google.com/spreadsheets/d/1MeEWN-I1oV_STSDYn1IFDPWt_1FKiwhDph83XaGc0o0/edit?usp=sharing"",""งบพรบ!AX63"")"),96640)</f>
        <v>96640</v>
      </c>
      <c r="O93" s="92">
        <f t="shared" ca="1" si="25"/>
        <v>112.58154706430568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IFERROR(__xludf.DUMMYFUNCTION("IMPORTRANGE(""https://docs.google.com/spreadsheets/d/1MeEWN-I1oV_STSDYn1IFDPWt_1FKiwhDph83XaGc0o0/edit?usp=sharing"",""งบพรบ!AT63"")"),0)</f>
        <v>0</v>
      </c>
      <c r="M96" s="92">
        <f ca="1">IFERROR(__xludf.DUMMYFUNCTION("IMPORTRANGE(""https://docs.google.com/spreadsheets/d/1MeEWN-I1oV_STSDYn1IFDPWt_1FKiwhDph83XaGc0o0/edit?usp=sharing"",""งบพรบ!AW63"")"),0)</f>
        <v>0</v>
      </c>
      <c r="N96" s="92">
        <f ca="1">IFERROR(__xludf.DUMMYFUNCTION("IMPORTRANGE(""https://docs.google.com/spreadsheets/d/1MeEWN-I1oV_STSDYn1IFDPWt_1FKiwhDph83XaGc0o0/edit?usp=sharing"",""งบพรบ!AY63"")"),0)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IFERROR(__xludf.DUMMYFUNCTION("IMPORTRANGE(""https://docs.google.com/spreadsheets/d/1QqKyyYR6Q21VydFLVH3TRQUabQu_ym0Zz7PgGX0-kHA/edit?usp=sharing"",""แผน!K63"")"),30)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IFERROR(__xludf.DUMMYFUNCTION("IMPORTRANGE(""https://docs.google.com/spreadsheets/d/1QqKyyYR6Q21VydFLVH3TRQUabQu_ym0Zz7PgGX0-kHA/edit?usp=sharing"",""แผน!L63"")"),10)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IFERROR(__xludf.DUMMYFUNCTION("IMPORTRANGE(""https://docs.google.com/spreadsheets/d/1QqKyyYR6Q21VydFLVH3TRQUabQu_ym0Zz7PgGX0-kHA/edit?usp=sharing"",""แผน!M63"")"),2)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IFERROR(__xludf.DUMMYFUNCTION("IMPORTRANGE(""https://docs.google.com/spreadsheets/d/1QqKyyYR6Q21VydFLVH3TRQUabQu_ym0Zz7PgGX0-kHA/edit?usp=sharing"",""แผน!N63"")"),30)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IFERROR(__xludf.DUMMYFUNCTION("IMPORTRANGE(""https://docs.google.com/spreadsheets/d/1QqKyyYR6Q21VydFLVH3TRQUabQu_ym0Zz7PgGX0-kHA/edit?usp=sharing"",""แผน!O63"")"),10)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IFERROR(__xludf.DUMMYFUNCTION("IMPORTRANGE(""https://docs.google.com/spreadsheets/d/1QqKyyYR6Q21VydFLVH3TRQUabQu_ym0Zz7PgGX0-kHA/edit?usp=sharing"",""แผน!O63"")"),10)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IFERROR(__xludf.DUMMYFUNCTION("IMPORTRANGE(""https://docs.google.com/spreadsheets/d/1QqKyyYR6Q21VydFLVH3TRQUabQu_ym0Zz7PgGX0-kHA/edit?usp=sharing"",""แผน!P63"")"),1)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IFERROR(__xludf.DUMMYFUNCTION("IMPORTRANGE(""https://docs.google.com/spreadsheets/d/1QqKyyYR6Q21VydFLVH3TRQUabQu_ym0Zz7PgGX0-kHA/edit?usp=sharing"",""แผน!P63"")"),1)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IFERROR(__xludf.DUMMYFUNCTION("IMPORTRANGE(""https://docs.google.com/spreadsheets/d/1QqKyyYR6Q21VydFLVH3TRQUabQu_ym0Zz7PgGX0-kHA/edit?usp=sharing"",""แผน!Q63"")"),1)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IFERROR(__xludf.DUMMYFUNCTION("IMPORTRANGE(""https://docs.google.com/spreadsheets/d/1QqKyyYR6Q21VydFLVH3TRQUabQu_ym0Zz7PgGX0-kHA/edit?usp=sharing"",""แผน!Q63"")"),1)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IFERROR(__xludf.DUMMYFUNCTION("IMPORTRANGE(""https://docs.google.com/spreadsheets/d/1QqKyyYR6Q21VydFLVH3TRQUabQu_ym0Zz7PgGX0-kHA/edit?usp=sharing"",""แผน!R63"")"),10)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IFERROR(__xludf.DUMMYFUNCTION("IMPORTRANGE(""https://docs.google.com/spreadsheets/d/1QqKyyYR6Q21VydFLVH3TRQUabQu_ym0Zz7PgGX0-kHA/edit?usp=sharing"",""แผน!R63"")"),10)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IFERROR(__xludf.DUMMYFUNCTION("IMPORTRANGE(""https://docs.google.com/spreadsheets/d/1QqKyyYR6Q21VydFLVH3TRQUabQu_ym0Zz7PgGX0-kHA/edit?usp=sharing"",""แผน!S63"")"),1)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IFERROR(__xludf.DUMMYFUNCTION("IMPORTRANGE(""https://docs.google.com/spreadsheets/d/1QqKyyYR6Q21VydFLVH3TRQUabQu_ym0Zz7PgGX0-kHA/edit?usp=sharing"",""แผน!T63"")"),1)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IFERROR(__xludf.DUMMYFUNCTION("IMPORTRANGE(""https://docs.google.com/spreadsheets/d/1MeEWN-I1oV_STSDYn1IFDPWt_1FKiwhDph83XaGc0o0/edit?usp=sharing"",""งบพรบ!BA63"")"),0)</f>
        <v>0</v>
      </c>
      <c r="M124" s="92">
        <f ca="1">IFERROR(__xludf.DUMMYFUNCTION("IMPORTRANGE(""https://docs.google.com/spreadsheets/d/1MeEWN-I1oV_STSDYn1IFDPWt_1FKiwhDph83XaGc0o0/edit?usp=sharing"",""งบพรบ!BF63"")"),0)</f>
        <v>0</v>
      </c>
      <c r="N124" s="92">
        <f ca="1">IFERROR(__xludf.DUMMYFUNCTION("IMPORTRANGE(""https://docs.google.com/spreadsheets/d/1MeEWN-I1oV_STSDYn1IFDPWt_1FKiwhDph83XaGc0o0/edit?usp=sharing"",""งบพรบ!BH63"")"),0)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IFERROR(__xludf.DUMMYFUNCTION("IMPORTRANGE(""https://docs.google.com/spreadsheets/d/1MeEWN-I1oV_STSDYn1IFDPWt_1FKiwhDph83XaGc0o0/edit?usp=sharing"",""งบพรบ!BD63"")"),0)</f>
        <v>0</v>
      </c>
      <c r="M127" s="92">
        <f ca="1">IFERROR(__xludf.DUMMYFUNCTION("IMPORTRANGE(""https://docs.google.com/spreadsheets/d/1MeEWN-I1oV_STSDYn1IFDPWt_1FKiwhDph83XaGc0o0/edit?usp=sharing"",""งบพรบ!BG63"")"),0)</f>
        <v>0</v>
      </c>
      <c r="N127" s="92">
        <f ca="1">IFERROR(__xludf.DUMMYFUNCTION("IMPORTRANGE(""https://docs.google.com/spreadsheets/d/1MeEWN-I1oV_STSDYn1IFDPWt_1FKiwhDph83XaGc0o0/edit?usp=sharing"",""งบพรบ!BI63"")"),0)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4</v>
      </c>
      <c r="J130" s="143">
        <f>J146</f>
        <v>4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40</v>
      </c>
      <c r="J131" s="143">
        <f ca="1">J143</f>
        <v>40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1017520</v>
      </c>
      <c r="M132" s="154">
        <f ca="1">M133+M134</f>
        <v>1018520</v>
      </c>
      <c r="N132" s="154">
        <f ca="1">N133+N134</f>
        <v>1018518.2</v>
      </c>
      <c r="O132" s="154">
        <f t="shared" ref="O132:O140" ca="1" si="32">IF(L132&gt;0,N132*100/L132,0)</f>
        <v>100.09810126582279</v>
      </c>
      <c r="P132" s="154">
        <f t="shared" ref="P132:P140" ca="1" si="33">IF(M132&gt;0,N132*100/M132,0)</f>
        <v>99.999823272984329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1017520</v>
      </c>
      <c r="M134" s="92">
        <f t="shared" ca="1" si="34"/>
        <v>1018520</v>
      </c>
      <c r="N134" s="92">
        <f t="shared" ca="1" si="34"/>
        <v>1018518.2</v>
      </c>
      <c r="O134" s="92">
        <f t="shared" ca="1" si="32"/>
        <v>100.09810126582279</v>
      </c>
      <c r="P134" s="92">
        <f t="shared" ca="1" si="33"/>
        <v>99.999823272984329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605520</v>
      </c>
      <c r="M135" s="497">
        <f ca="1">M136+M137</f>
        <v>606520</v>
      </c>
      <c r="N135" s="497">
        <f ca="1">N136+N137</f>
        <v>606518.19999999995</v>
      </c>
      <c r="O135" s="497">
        <f t="shared" ca="1" si="32"/>
        <v>100.16485004624124</v>
      </c>
      <c r="P135" s="497">
        <f t="shared" ca="1" si="33"/>
        <v>99.999703224955468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IFERROR(__xludf.DUMMYFUNCTION("IMPORTRANGE(""https://docs.google.com/spreadsheets/d/1MeEWN-I1oV_STSDYn1IFDPWt_1FKiwhDph83XaGc0o0/edit?usp=sharing"",""งบพรบ!BK63"")"),605520)</f>
        <v>605520</v>
      </c>
      <c r="M137" s="92">
        <f ca="1">IFERROR(__xludf.DUMMYFUNCTION("IMPORTRANGE(""https://docs.google.com/spreadsheets/d/1MeEWN-I1oV_STSDYn1IFDPWt_1FKiwhDph83XaGc0o0/edit?usp=sharing"",""งบพรบ!BP63"")"),606520)</f>
        <v>606520</v>
      </c>
      <c r="N137" s="92">
        <f ca="1">IFERROR(__xludf.DUMMYFUNCTION("IMPORTRANGE(""https://docs.google.com/spreadsheets/d/1MeEWN-I1oV_STSDYn1IFDPWt_1FKiwhDph83XaGc0o0/edit?usp=sharing"",""งบพรบ!BR63"")"),606518.2)</f>
        <v>606518.19999999995</v>
      </c>
      <c r="O137" s="92">
        <f t="shared" ca="1" si="32"/>
        <v>100.16485004624124</v>
      </c>
      <c r="P137" s="92">
        <f t="shared" ca="1" si="33"/>
        <v>99.999703224955468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412000</v>
      </c>
      <c r="M138" s="497">
        <f ca="1">M139+M140</f>
        <v>412000</v>
      </c>
      <c r="N138" s="497">
        <f ca="1">N139+N140</f>
        <v>412000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IFERROR(__xludf.DUMMYFUNCTION("IMPORTRANGE(""https://docs.google.com/spreadsheets/d/1MeEWN-I1oV_STSDYn1IFDPWt_1FKiwhDph83XaGc0o0/edit?usp=sharing"",""งบพรบ!BN63"")"),412000)</f>
        <v>412000</v>
      </c>
      <c r="M140" s="92">
        <f ca="1">IFERROR(__xludf.DUMMYFUNCTION("IMPORTRANGE(""https://docs.google.com/spreadsheets/d/1MeEWN-I1oV_STSDYn1IFDPWt_1FKiwhDph83XaGc0o0/edit?usp=sharing"",""งบพรบ!BQ63"")"),412000)</f>
        <v>412000</v>
      </c>
      <c r="N140" s="92">
        <f ca="1">IFERROR(__xludf.DUMMYFUNCTION("IMPORTRANGE(""https://docs.google.com/spreadsheets/d/1MeEWN-I1oV_STSDYn1IFDPWt_1FKiwhDph83XaGc0o0/edit?usp=sharing"",""งบพรบ!BS63"")"),412000)</f>
        <v>412000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40</v>
      </c>
      <c r="J143" s="269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IFERROR(__xludf.DUMMYFUNCTION("IMPORTRANGE(""https://docs.google.com/spreadsheets/d/1QqKyyYR6Q21VydFLVH3TRQUabQu_ym0Zz7PgGX0-kHA/edit?usp=sharing"",""แผน!U63"")"),20)</f>
        <v>20</v>
      </c>
      <c r="J144" s="214">
        <v>40</v>
      </c>
      <c r="K144" s="497">
        <f ca="1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IFERROR(__xludf.DUMMYFUNCTION("IMPORTRANGE(""https://docs.google.com/spreadsheets/d/1QqKyyYR6Q21VydFLVH3TRQUabQu_ym0Zz7PgGX0-kHA/edit?usp=sharing"",""แผน!V63"")"),40)</f>
        <v>40</v>
      </c>
      <c r="J145" s="214">
        <v>40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IFERROR(__xludf.DUMMYFUNCTION("IMPORTRANGE(""https://docs.google.com/spreadsheets/d/1QqKyyYR6Q21VydFLVH3TRQUabQu_ym0Zz7PgGX0-kHA/edit?usp=sharing"",""แผน!W63"")"),4)</f>
        <v>4</v>
      </c>
      <c r="J146" s="214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1680</v>
      </c>
      <c r="N149" s="154">
        <f ca="1">N150+N151</f>
        <v>1680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1680</v>
      </c>
      <c r="N151" s="92">
        <f t="shared" ca="1" si="37"/>
        <v>1680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1680</v>
      </c>
      <c r="N152" s="497">
        <f ca="1">N153+N154</f>
        <v>1680</v>
      </c>
      <c r="O152" s="497">
        <f t="shared" ca="1" si="35"/>
        <v>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IFERROR(__xludf.DUMMYFUNCTION("IMPORTRANGE(""https://docs.google.com/spreadsheets/d/1MeEWN-I1oV_STSDYn1IFDPWt_1FKiwhDph83XaGc0o0/edit?usp=sharing"",""งบพรบ!BU63"")"),0)</f>
        <v>0</v>
      </c>
      <c r="M154" s="92">
        <f ca="1">IFERROR(__xludf.DUMMYFUNCTION("IMPORTRANGE(""https://docs.google.com/spreadsheets/d/1MeEWN-I1oV_STSDYn1IFDPWt_1FKiwhDph83XaGc0o0/edit?usp=sharing"",""งบพรบ!BZ63"")"),1680)</f>
        <v>1680</v>
      </c>
      <c r="N154" s="92">
        <f ca="1">IFERROR(__xludf.DUMMYFUNCTION("IMPORTRANGE(""https://docs.google.com/spreadsheets/d/1MeEWN-I1oV_STSDYn1IFDPWt_1FKiwhDph83XaGc0o0/edit?usp=sharing"",""งบพรบ!CB63"")"),1680)</f>
        <v>1680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IFERROR(__xludf.DUMMYFUNCTION("IMPORTRANGE(""https://docs.google.com/spreadsheets/d/1MeEWN-I1oV_STSDYn1IFDPWt_1FKiwhDph83XaGc0o0/edit?usp=sharing"",""งบพรบ!BX63"")"),0)</f>
        <v>0</v>
      </c>
      <c r="M157" s="92">
        <f ca="1">IFERROR(__xludf.DUMMYFUNCTION("IMPORTRANGE(""https://docs.google.com/spreadsheets/d/1MeEWN-I1oV_STSDYn1IFDPWt_1FKiwhDph83XaGc0o0/edit?usp=sharing"",""งบพรบ!CA63"")"),0)</f>
        <v>0</v>
      </c>
      <c r="N157" s="92">
        <f ca="1">IFERROR(__xludf.DUMMYFUNCTION("IMPORTRANGE(""https://docs.google.com/spreadsheets/d/1MeEWN-I1oV_STSDYn1IFDPWt_1FKiwhDph83XaGc0o0/edit?usp=sharing"",""งบพรบ!CC63"")"),0)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IFERROR(__xludf.DUMMYFUNCTION("IMPORTRANGE(""https://docs.google.com/spreadsheets/d/1QqKyyYR6Q21VydFLVH3TRQUabQu_ym0Zz7PgGX0-kHA/edit?usp=sharing"",""แผน!X63"")"),0)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46900</v>
      </c>
      <c r="N165" s="154">
        <f ca="1">N166+N167</f>
        <v>46900</v>
      </c>
      <c r="O165" s="154">
        <f t="shared" ref="O165:O173" ca="1" si="38">IF(L165&gt;0,N165*100/L165,0)</f>
        <v>222.80285035629453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46900</v>
      </c>
      <c r="N167" s="92">
        <f t="shared" ca="1" si="40"/>
        <v>46900</v>
      </c>
      <c r="O167" s="92">
        <f t="shared" ca="1" si="38"/>
        <v>222.80285035629453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46900</v>
      </c>
      <c r="N168" s="497">
        <f ca="1">N169+N170</f>
        <v>46900</v>
      </c>
      <c r="O168" s="497">
        <f t="shared" ca="1" si="38"/>
        <v>222.80285035629453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IFERROR(__xludf.DUMMYFUNCTION("IMPORTRANGE(""https://docs.google.com/spreadsheets/d/1MeEWN-I1oV_STSDYn1IFDPWt_1FKiwhDph83XaGc0o0/edit?usp=sharing"",""งบพรบ!CE63"")"),21050)</f>
        <v>21050</v>
      </c>
      <c r="M170" s="92">
        <f ca="1">IFERROR(__xludf.DUMMYFUNCTION("IMPORTRANGE(""https://docs.google.com/spreadsheets/d/1MeEWN-I1oV_STSDYn1IFDPWt_1FKiwhDph83XaGc0o0/edit?usp=sharing"",""งบพรบ!CJ63"")"),46900)</f>
        <v>46900</v>
      </c>
      <c r="N170" s="92">
        <f ca="1">IFERROR(__xludf.DUMMYFUNCTION("IMPORTRANGE(""https://docs.google.com/spreadsheets/d/1MeEWN-I1oV_STSDYn1IFDPWt_1FKiwhDph83XaGc0o0/edit?usp=sharing"",""งบพรบ!CL63"")"),46900)</f>
        <v>46900</v>
      </c>
      <c r="O170" s="92">
        <f t="shared" ca="1" si="38"/>
        <v>222.80285035629453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IFERROR(__xludf.DUMMYFUNCTION("IMPORTRANGE(""https://docs.google.com/spreadsheets/d/1MeEWN-I1oV_STSDYn1IFDPWt_1FKiwhDph83XaGc0o0/edit?usp=sharing"",""งบพรบ!CH63"")"),0)</f>
        <v>0</v>
      </c>
      <c r="M173" s="92">
        <f ca="1">IFERROR(__xludf.DUMMYFUNCTION("IMPORTRANGE(""https://docs.google.com/spreadsheets/d/1MeEWN-I1oV_STSDYn1IFDPWt_1FKiwhDph83XaGc0o0/edit?usp=sharing"",""งบพรบ!CK63"")"),0)</f>
        <v>0</v>
      </c>
      <c r="N173" s="92">
        <f ca="1">IFERROR(__xludf.DUMMYFUNCTION("IMPORTRANGE(""https://docs.google.com/spreadsheets/d/1MeEWN-I1oV_STSDYn1IFDPWt_1FKiwhDph83XaGc0o0/edit?usp=sharing"",""งบพรบ!CM63"")"),0)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IFERROR(__xludf.DUMMYFUNCTION("IMPORTRANGE(""https://docs.google.com/spreadsheets/d/1QqKyyYR6Q21VydFLVH3TRQUabQu_ym0Zz7PgGX0-kHA/edit?usp=sharing"",""แผน!Y63"")"),10)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112000</v>
      </c>
      <c r="M181" s="154">
        <f ca="1">M182+M183</f>
        <v>117458</v>
      </c>
      <c r="N181" s="154">
        <f ca="1">N182+N183</f>
        <v>117458</v>
      </c>
      <c r="O181" s="154">
        <f t="shared" ref="O181:O189" ca="1" si="41">IF(L181&gt;0,N181*100/L181,0)</f>
        <v>104.87321428571428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112000</v>
      </c>
      <c r="M183" s="92">
        <f t="shared" ca="1" si="43"/>
        <v>117458</v>
      </c>
      <c r="N183" s="92">
        <f t="shared" ca="1" si="43"/>
        <v>117458</v>
      </c>
      <c r="O183" s="92">
        <f t="shared" ca="1" si="41"/>
        <v>104.87321428571428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112000</v>
      </c>
      <c r="M184" s="497">
        <f ca="1">M185+M186</f>
        <v>117458</v>
      </c>
      <c r="N184" s="497">
        <f ca="1">N185+N186</f>
        <v>117458</v>
      </c>
      <c r="O184" s="497">
        <f t="shared" ca="1" si="41"/>
        <v>104.87321428571428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IFERROR(__xludf.DUMMYFUNCTION("IMPORTRANGE(""https://docs.google.com/spreadsheets/d/1MeEWN-I1oV_STSDYn1IFDPWt_1FKiwhDph83XaGc0o0/edit?usp=sharing"",""งบพรบ!CO63"")"),112000)</f>
        <v>112000</v>
      </c>
      <c r="M186" s="92">
        <f ca="1">IFERROR(__xludf.DUMMYFUNCTION("IMPORTRANGE(""https://docs.google.com/spreadsheets/d/1MeEWN-I1oV_STSDYn1IFDPWt_1FKiwhDph83XaGc0o0/edit?usp=sharing"",""งบพรบ!CT63"")"),117458)</f>
        <v>117458</v>
      </c>
      <c r="N186" s="92">
        <f ca="1">IFERROR(__xludf.DUMMYFUNCTION("IMPORTRANGE(""https://docs.google.com/spreadsheets/d/1MeEWN-I1oV_STSDYn1IFDPWt_1FKiwhDph83XaGc0o0/edit?usp=sharing"",""งบพรบ!CV63"")"),117458)</f>
        <v>117458</v>
      </c>
      <c r="O186" s="92">
        <f t="shared" ca="1" si="41"/>
        <v>104.87321428571428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IFERROR(__xludf.DUMMYFUNCTION("IMPORTRANGE(""https://docs.google.com/spreadsheets/d/1MeEWN-I1oV_STSDYn1IFDPWt_1FKiwhDph83XaGc0o0/edit?usp=sharing"",""งบพรบ!CR63"")"),0)</f>
        <v>0</v>
      </c>
      <c r="M189" s="92">
        <f ca="1">IFERROR(__xludf.DUMMYFUNCTION("IMPORTRANGE(""https://docs.google.com/spreadsheets/d/1MeEWN-I1oV_STSDYn1IFDPWt_1FKiwhDph83XaGc0o0/edit?usp=sharing"",""งบพรบ!CU63"")"),0)</f>
        <v>0</v>
      </c>
      <c r="N189" s="92">
        <f ca="1">IFERROR(__xludf.DUMMYFUNCTION("IMPORTRANGE(""https://docs.google.com/spreadsheets/d/1MeEWN-I1oV_STSDYn1IFDPWt_1FKiwhDph83XaGc0o0/edit?usp=sharing"",""งบพรบ!CW63"")"),0)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IFERROR(__xludf.DUMMYFUNCTION("IMPORTRANGE(""https://docs.google.com/spreadsheets/d/1QqKyyYR6Q21VydFLVH3TRQUabQu_ym0Zz7PgGX0-kHA/edit?usp=sharing"",""แผน!AC63"")"),4)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49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49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IFERROR(__xludf.DUMMYFUNCTION("IMPORTRANGE(""https://docs.google.com/spreadsheets/d/1QqKyyYR6Q21VydFLVH3TRQUabQu_ym0Zz7PgGX0-kHA/edit?usp=sharing"",""แผน!AI63"")"),3)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IFERROR(__xludf.DUMMYFUNCTION("IMPORTRANGE(""https://docs.google.com/spreadsheets/d/1QqKyyYR6Q21VydFLVH3TRQUabQu_ym0Zz7PgGX0-kHA/edit?usp=sharing"",""แผน!AN63"")"),0)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IFERROR(__xludf.DUMMYFUNCTION("IMPORTRANGE(""https://docs.google.com/spreadsheets/d/1QqKyyYR6Q21VydFLVH3TRQUabQu_ym0Zz7PgGX0-kHA/edit?usp=sharing"",""แผน!AN63"")"),0)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IFERROR(__xludf.DUMMYFUNCTION("IMPORTRANGE(""https://docs.google.com/spreadsheets/d/1QqKyyYR6Q21VydFLVH3TRQUabQu_ym0Zz7PgGX0-kHA/edit?usp=sharing"",""แผน!AT63"")"),20000)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IFERROR(__xludf.DUMMYFUNCTION("IMPORTRANGE(""https://docs.google.com/spreadsheets/d/1QqKyyYR6Q21VydFLVH3TRQUabQu_ym0Zz7PgGX0-kHA/edit?usp=sharing"",""แผน!AT63"")"),20000)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IFERROR(__xludf.DUMMYFUNCTION("IMPORTRANGE(""https://docs.google.com/spreadsheets/d/1QqKyyYR6Q21VydFLVH3TRQUabQu_ym0Zz7PgGX0-kHA/edit?usp=sharing"",""แผน!AS63"")"),0)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59000</v>
      </c>
      <c r="M227" s="355"/>
      <c r="N227" s="355">
        <f>N238+N249</f>
        <v>59000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17000</v>
      </c>
      <c r="M228" s="92"/>
      <c r="N228" s="92">
        <f>N239+N250</f>
        <v>17000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32000</v>
      </c>
      <c r="M229" s="92"/>
      <c r="N229" s="92">
        <f>N240+N251</f>
        <v>32000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351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59000</v>
      </c>
      <c r="M238" s="154"/>
      <c r="N238" s="154">
        <f>N239+N240+N241+N242</f>
        <v>59000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IFERROR(__xludf.DUMMYFUNCTION("IMPORTRANGE(""https://docs.google.com/spreadsheets/d/1QqKyyYR6Q21VydFLVH3TRQUabQu_ym0Zz7PgGX0-kHA/edit?usp=sharing"",""แผน!AV63"")"),17000)</f>
        <v>17000</v>
      </c>
      <c r="M239" s="282"/>
      <c r="N239" s="862">
        <v>17000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IFERROR(__xludf.DUMMYFUNCTION("IMPORTRANGE(""https://docs.google.com/spreadsheets/d/1QqKyyYR6Q21VydFLVH3TRQUabQu_ym0Zz7PgGX0-kHA/edit?usp=sharing"",""แผน!AW63"")"),32000)</f>
        <v>32000</v>
      </c>
      <c r="M240" s="282"/>
      <c r="N240" s="862">
        <v>32000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IFERROR(__xludf.DUMMYFUNCTION("IMPORTRANGE(""https://docs.google.com/spreadsheets/d/1QqKyyYR6Q21VydFLVH3TRQUabQu_ym0Zz7PgGX0-kHA/edit?usp=sharing"",""แผน!AX63"")"),0)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IFERROR(__xludf.DUMMYFUNCTION("IMPORTRANGE(""https://docs.google.com/spreadsheets/d/1QqKyyYR6Q21VydFLVH3TRQUabQu_ym0Zz7PgGX0-kHA/edit?usp=sharing"",""แผน!AY63"")"),10000)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IFERROR(__xludf.DUMMYFUNCTION("IMPORTRANGE(""https://docs.google.com/spreadsheets/d/1QqKyyYR6Q21VydFLVH3TRQUabQu_ym0Zz7PgGX0-kHA/edit?usp=sharing"",""แผน!BE63"")"),20)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0</v>
      </c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IFERROR(__xludf.DUMMYFUNCTION("IMPORTRANGE(""https://docs.google.com/spreadsheets/d/1QqKyyYR6Q21VydFLVH3TRQUabQu_ym0Zz7PgGX0-kHA/edit?usp=sharing"",""แผน!AZ63"")"),0)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IFERROR(__xludf.DUMMYFUNCTION("IMPORTRANGE(""https://docs.google.com/spreadsheets/d/1QqKyyYR6Q21VydFLVH3TRQUabQu_ym0Zz7PgGX0-kHA/edit?usp=sharing"",""แผน!BA63"")"),0)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IFERROR(__xludf.DUMMYFUNCTION("IMPORTRANGE(""https://docs.google.com/spreadsheets/d/1QqKyyYR6Q21VydFLVH3TRQUabQu_ym0Zz7PgGX0-kHA/edit?usp=sharing"",""แผน!BB63"")"),0)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IFERROR(__xludf.DUMMYFUNCTION("IMPORTRANGE(""https://docs.google.com/spreadsheets/d/1QqKyyYR6Q21VydFLVH3TRQUabQu_ym0Zz7PgGX0-kHA/edit?usp=sharing"",""แผน!BC63"")"),0)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IFERROR(__xludf.DUMMYFUNCTION("IMPORTRANGE(""https://docs.google.com/spreadsheets/d/1MeEWN-I1oV_STSDYn1IFDPWt_1FKiwhDph83XaGc0o0/edit?usp=sharing"",""งบพรบ!CY63"")"),26900)</f>
        <v>26900</v>
      </c>
      <c r="M266" s="92">
        <f ca="1">IFERROR(__xludf.DUMMYFUNCTION("IMPORTRANGE(""https://docs.google.com/spreadsheets/d/1MeEWN-I1oV_STSDYn1IFDPWt_1FKiwhDph83XaGc0o0/edit?usp=sharing"",""งบพรบ!DD63"")"),26900)</f>
        <v>26900</v>
      </c>
      <c r="N266" s="92">
        <f ca="1">IFERROR(__xludf.DUMMYFUNCTION("IMPORTRANGE(""https://docs.google.com/spreadsheets/d/1MeEWN-I1oV_STSDYn1IFDPWt_1FKiwhDph83XaGc0o0/edit?usp=sharing"",""งบพรบ!DF63"")"),26900)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IFERROR(__xludf.DUMMYFUNCTION("IMPORTRANGE(""https://docs.google.com/spreadsheets/d/1MeEWN-I1oV_STSDYn1IFDPWt_1FKiwhDph83XaGc0o0/edit?usp=sharing"",""งบพรบ!DB63"")"),0)</f>
        <v>0</v>
      </c>
      <c r="M269" s="92">
        <f ca="1">IFERROR(__xludf.DUMMYFUNCTION("IMPORTRANGE(""https://docs.google.com/spreadsheets/d/1MeEWN-I1oV_STSDYn1IFDPWt_1FKiwhDph83XaGc0o0/edit?usp=sharing"",""งบพรบ!DE63"")"),0)</f>
        <v>0</v>
      </c>
      <c r="N269" s="92">
        <f ca="1">IFERROR(__xludf.DUMMYFUNCTION("IMPORTRANGE(""https://docs.google.com/spreadsheets/d/1MeEWN-I1oV_STSDYn1IFDPWt_1FKiwhDph83XaGc0o0/edit?usp=sharing"",""งบพรบ!DG63"")"),0)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IFERROR(__xludf.DUMMYFUNCTION("IMPORTRANGE(""https://docs.google.com/spreadsheets/d/1QqKyyYR6Q21VydFLVH3TRQUabQu_ym0Zz7PgGX0-kHA/edit?usp=sharing"",""แผน!EA63"")"),22)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IFERROR(__xludf.DUMMYFUNCTION("IMPORTRANGE(""https://docs.google.com/spreadsheets/d/1MeEWN-I1oV_STSDYn1IFDPWt_1FKiwhDph83XaGc0o0/edit?usp=sharing"",""งบพรบ!DI63"")"),0)</f>
        <v>0</v>
      </c>
      <c r="M282" s="92">
        <f ca="1">IFERROR(__xludf.DUMMYFUNCTION("IMPORTRANGE(""https://docs.google.com/spreadsheets/d/1MeEWN-I1oV_STSDYn1IFDPWt_1FKiwhDph83XaGc0o0/edit?usp=sharing"",""งบพรบ!DN63"")"),0)</f>
        <v>0</v>
      </c>
      <c r="N282" s="92">
        <f ca="1">IFERROR(__xludf.DUMMYFUNCTION("IMPORTRANGE(""https://docs.google.com/spreadsheets/d/1MeEWN-I1oV_STSDYn1IFDPWt_1FKiwhDph83XaGc0o0/edit?usp=sharing"",""งบพรบ!DP63"")"),0)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IFERROR(__xludf.DUMMYFUNCTION("IMPORTRANGE(""https://docs.google.com/spreadsheets/d/1MeEWN-I1oV_STSDYn1IFDPWt_1FKiwhDph83XaGc0o0/edit?usp=sharing"",""งบพรบ!DL63"")"),0)</f>
        <v>0</v>
      </c>
      <c r="M285" s="92">
        <f ca="1">IFERROR(__xludf.DUMMYFUNCTION("IMPORTRANGE(""https://docs.google.com/spreadsheets/d/1MeEWN-I1oV_STSDYn1IFDPWt_1FKiwhDph83XaGc0o0/edit?usp=sharing"",""งบพรบ!DO63"")"),0)</f>
        <v>0</v>
      </c>
      <c r="N285" s="92">
        <f ca="1">IFERROR(__xludf.DUMMYFUNCTION("IMPORTRANGE(""https://docs.google.com/spreadsheets/d/1MeEWN-I1oV_STSDYn1IFDPWt_1FKiwhDph83XaGc0o0/edit?usp=sharing"",""งบพรบ!DQ63"")"),0)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IFERROR(__xludf.DUMMYFUNCTION("IMPORTRANGE(""https://docs.google.com/spreadsheets/d/1QqKyyYR6Q21VydFLVH3TRQUabQu_ym0Zz7PgGX0-kHA/edit?usp=sharing"",""แผน!EC63"")"),0)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IFERROR(__xludf.DUMMYFUNCTION("IMPORTRANGE(""https://docs.google.com/spreadsheets/d/1QqKyyYR6Q21VydFLVH3TRQUabQu_ym0Zz7PgGX0-kHA/edit?usp=sharing"",""แผน!EB63"")"),0)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IFERROR(__xludf.DUMMYFUNCTION("IMPORTRANGE(""https://docs.google.com/spreadsheets/d/1QqKyyYR6Q21VydFLVH3TRQUabQu_ym0Zz7PgGX0-kHA/edit?usp=sharing"",""แผน!EB63"")"),0)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IFERROR(__xludf.DUMMYFUNCTION("IMPORTRANGE(""https://docs.google.com/spreadsheets/d/1QqKyyYR6Q21VydFLVH3TRQUabQu_ym0Zz7PgGX0-kHA/edit?usp=sharing"",""แผน!EB63"")"),0)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IFERROR(__xludf.DUMMYFUNCTION("IMPORTRANGE(""https://docs.google.com/spreadsheets/d/1QqKyyYR6Q21VydFLVH3TRQUabQu_ym0Zz7PgGX0-kHA/edit?usp=sharing"",""แผน!EB63"")"),0)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211210</v>
      </c>
      <c r="N298" s="154">
        <f ca="1">N299+N300</f>
        <v>211210</v>
      </c>
      <c r="O298" s="154">
        <f t="shared" ref="O298:O306" ca="1" si="50">IF(L298&gt;0,N298*100/L298,0)</f>
        <v>102.13249516441006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206800</v>
      </c>
      <c r="M300" s="92">
        <f t="shared" ca="1" si="52"/>
        <v>211210</v>
      </c>
      <c r="N300" s="92">
        <f t="shared" ca="1" si="52"/>
        <v>211210</v>
      </c>
      <c r="O300" s="92">
        <f t="shared" ca="1" si="50"/>
        <v>102.13249516441006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211210</v>
      </c>
      <c r="N301" s="497">
        <f ca="1">N302+N303</f>
        <v>211210</v>
      </c>
      <c r="O301" s="497">
        <f t="shared" ca="1" si="50"/>
        <v>102.13249516441006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IFERROR(__xludf.DUMMYFUNCTION("IMPORTRANGE(""https://docs.google.com/spreadsheets/d/1MeEWN-I1oV_STSDYn1IFDPWt_1FKiwhDph83XaGc0o0/edit?usp=sharing"",""งบพรบ!DS63"")"),206800)</f>
        <v>206800</v>
      </c>
      <c r="M303" s="92">
        <f ca="1">IFERROR(__xludf.DUMMYFUNCTION("IMPORTRANGE(""https://docs.google.com/spreadsheets/d/1MeEWN-I1oV_STSDYn1IFDPWt_1FKiwhDph83XaGc0o0/edit?usp=sharing"",""งบพรบ!DX63"")"),211210)</f>
        <v>211210</v>
      </c>
      <c r="N303" s="92">
        <f ca="1">IFERROR(__xludf.DUMMYFUNCTION("IMPORTRANGE(""https://docs.google.com/spreadsheets/d/1MeEWN-I1oV_STSDYn1IFDPWt_1FKiwhDph83XaGc0o0/edit?usp=sharing"",""งบพรบ!DZ63"")"),211210)</f>
        <v>211210</v>
      </c>
      <c r="O303" s="92">
        <f t="shared" ca="1" si="50"/>
        <v>102.13249516441006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IFERROR(__xludf.DUMMYFUNCTION("IMPORTRANGE(""https://docs.google.com/spreadsheets/d/1MeEWN-I1oV_STSDYn1IFDPWt_1FKiwhDph83XaGc0o0/edit?usp=sharing"",""งบพรบ!DV63"")"),0)</f>
        <v>0</v>
      </c>
      <c r="M306" s="92">
        <f ca="1">IFERROR(__xludf.DUMMYFUNCTION("IMPORTRANGE(""https://docs.google.com/spreadsheets/d/1MeEWN-I1oV_STSDYn1IFDPWt_1FKiwhDph83XaGc0o0/edit?usp=sharing"",""งบพรบ!DY63"")"),0)</f>
        <v>0</v>
      </c>
      <c r="N306" s="92">
        <f ca="1">IFERROR(__xludf.DUMMYFUNCTION("IMPORTRANGE(""https://docs.google.com/spreadsheets/d/1MeEWN-I1oV_STSDYn1IFDPWt_1FKiwhDph83XaGc0o0/edit?usp=sharing"",""งบพรบ!EA63"")"),0)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IFERROR(__xludf.DUMMYFUNCTION("IMPORTRANGE(""https://docs.google.com/spreadsheets/d/1QqKyyYR6Q21VydFLVH3TRQUabQu_ym0Zz7PgGX0-kHA/edit?usp=sharing"",""แผน!ED63"")"),15)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IFERROR(__xludf.DUMMYFUNCTION("IMPORTRANGE(""https://docs.google.com/spreadsheets/d/1QqKyyYR6Q21VydFLVH3TRQUabQu_ym0Zz7PgGX0-kHA/edit?usp=sharing"",""แผน!ED63"")"),15)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IFERROR(__xludf.DUMMYFUNCTION("IMPORTRANGE(""https://docs.google.com/spreadsheets/d/1QqKyyYR6Q21VydFLVH3TRQUabQu_ym0Zz7PgGX0-kHA/edit?usp=sharing"",""แผน!ED63"")"),15)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IFERROR(__xludf.DUMMYFUNCTION("IMPORTRANGE(""https://docs.google.com/spreadsheets/d/1QqKyyYR6Q21VydFLVH3TRQUabQu_ym0Zz7PgGX0-kHA/edit?usp=sharing"",""แผน!EE63"")"),3)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IFERROR(__xludf.DUMMYFUNCTION("IMPORTRANGE(""https://docs.google.com/spreadsheets/d/1MeEWN-I1oV_STSDYn1IFDPWt_1FKiwhDph83XaGc0o0/edit?usp=sharing"",""งบพรบ!EC63"")"),0)</f>
        <v>0</v>
      </c>
      <c r="M320" s="92">
        <f ca="1">IFERROR(__xludf.DUMMYFUNCTION("IMPORTRANGE(""https://docs.google.com/spreadsheets/d/1MeEWN-I1oV_STSDYn1IFDPWt_1FKiwhDph83XaGc0o0/edit?usp=sharing"",""งบพรบ!EH63"")"),0)</f>
        <v>0</v>
      </c>
      <c r="N320" s="92">
        <f ca="1">IFERROR(__xludf.DUMMYFUNCTION("IMPORTRANGE(""https://docs.google.com/spreadsheets/d/1MeEWN-I1oV_STSDYn1IFDPWt_1FKiwhDph83XaGc0o0/edit?usp=sharing"",""งบพรบ!EJ63"")"),0)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IFERROR(__xludf.DUMMYFUNCTION("IMPORTRANGE(""https://docs.google.com/spreadsheets/d/1MeEWN-I1oV_STSDYn1IFDPWt_1FKiwhDph83XaGc0o0/edit?usp=sharing"",""งบพรบ!EF63"")"),0)</f>
        <v>0</v>
      </c>
      <c r="M323" s="92">
        <f ca="1">IFERROR(__xludf.DUMMYFUNCTION("IMPORTRANGE(""https://docs.google.com/spreadsheets/d/1MeEWN-I1oV_STSDYn1IFDPWt_1FKiwhDph83XaGc0o0/edit?usp=sharing"",""งบพรบ!EI63"")"),0)</f>
        <v>0</v>
      </c>
      <c r="N323" s="92">
        <f ca="1">IFERROR(__xludf.DUMMYFUNCTION("IMPORTRANGE(""https://docs.google.com/spreadsheets/d/1MeEWN-I1oV_STSDYn1IFDPWt_1FKiwhDph83XaGc0o0/edit?usp=sharing"",""งบพรบ!EK63"")"),0)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IFERROR(__xludf.DUMMYFUNCTION("IMPORTRANGE(""https://docs.google.com/spreadsheets/d/1QqKyyYR6Q21VydFLVH3TRQUabQu_ym0Zz7PgGX0-kHA/edit?usp=sharing"",""แผน!EF63"")"),0)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IFERROR(__xludf.DUMMYFUNCTION("IMPORTRANGE(""https://docs.google.com/spreadsheets/d/1QqKyyYR6Q21VydFLVH3TRQUabQu_ym0Zz7PgGX0-kHA/edit?usp=sharing"",""แผน!EG63"")"),1000)</f>
        <v>1000</v>
      </c>
      <c r="J327" s="443">
        <f ca="1">J338+J341+J342+J343</f>
        <v>1954</v>
      </c>
      <c r="K327" s="444">
        <f ca="1">IF(I327&gt;0,J327*100/I327,0)</f>
        <v>195.4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159000</v>
      </c>
      <c r="M328" s="154">
        <f ca="1">M329+M330</f>
        <v>161500</v>
      </c>
      <c r="N328" s="154">
        <f ca="1">N329+N330</f>
        <v>161500</v>
      </c>
      <c r="O328" s="154">
        <f t="shared" ref="O328:O336" ca="1" si="56">IF(L328&gt;0,N328*100/L328,0)</f>
        <v>101.57232704402516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159000</v>
      </c>
      <c r="M330" s="92">
        <f t="shared" ca="1" si="58"/>
        <v>161500</v>
      </c>
      <c r="N330" s="92">
        <f t="shared" ca="1" si="58"/>
        <v>161500</v>
      </c>
      <c r="O330" s="92">
        <f t="shared" ca="1" si="56"/>
        <v>101.57232704402516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159000</v>
      </c>
      <c r="M331" s="497">
        <f ca="1">M332+M333</f>
        <v>161500</v>
      </c>
      <c r="N331" s="497">
        <f ca="1">N332+N333</f>
        <v>161500</v>
      </c>
      <c r="O331" s="497">
        <f t="shared" ca="1" si="56"/>
        <v>101.57232704402516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IFERROR(__xludf.DUMMYFUNCTION("IMPORTRANGE(""https://docs.google.com/spreadsheets/d/1MeEWN-I1oV_STSDYn1IFDPWt_1FKiwhDph83XaGc0o0/edit?usp=sharing"",""งบพรบ!EM63"")"),159000)</f>
        <v>159000</v>
      </c>
      <c r="M333" s="92">
        <f ca="1">IFERROR(__xludf.DUMMYFUNCTION("IMPORTRANGE(""https://docs.google.com/spreadsheets/d/1MeEWN-I1oV_STSDYn1IFDPWt_1FKiwhDph83XaGc0o0/edit?usp=sharing"",""งบพรบ!ER63"")"),161500)</f>
        <v>161500</v>
      </c>
      <c r="N333" s="92">
        <f ca="1">IFERROR(__xludf.DUMMYFUNCTION("IMPORTRANGE(""https://docs.google.com/spreadsheets/d/1MeEWN-I1oV_STSDYn1IFDPWt_1FKiwhDph83XaGc0o0/edit?usp=sharing"",""งบพรบ!ET63"")"),161500)</f>
        <v>161500</v>
      </c>
      <c r="O333" s="92">
        <f t="shared" ca="1" si="56"/>
        <v>101.57232704402516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IFERROR(__xludf.DUMMYFUNCTION("IMPORTRANGE(""https://docs.google.com/spreadsheets/d/1MeEWN-I1oV_STSDYn1IFDPWt_1FKiwhDph83XaGc0o0/edit?usp=sharing"",""งบพรบ!EP63"")"),0)</f>
        <v>0</v>
      </c>
      <c r="M336" s="92">
        <f ca="1">IFERROR(__xludf.DUMMYFUNCTION("IMPORTRANGE(""https://docs.google.com/spreadsheets/d/1MeEWN-I1oV_STSDYn1IFDPWt_1FKiwhDph83XaGc0o0/edit?usp=sharing"",""งบพรบ!ES63"")"),0)</f>
        <v>0</v>
      </c>
      <c r="N336" s="92">
        <f ca="1">IFERROR(__xludf.DUMMYFUNCTION("IMPORTRANGE(""https://docs.google.com/spreadsheets/d/1MeEWN-I1oV_STSDYn1IFDPWt_1FKiwhDph83XaGc0o0/edit?usp=sharing"",""งบพรบ!EU63"")"),0)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IFERROR(__xludf.DUMMYFUNCTION("IMPORTRANGE(""https://docs.google.com/spreadsheets/d/1QqKyyYR6Q21VydFLVH3TRQUabQu_ym0Zz7PgGX0-kHA/edit?usp=sharing"",""แผน!EG63"")"),1000)</f>
        <v>1000</v>
      </c>
      <c r="J338" s="269">
        <f ca="1">IFERROR(__xludf.DUMMYFUNCTION("IMPORTRANGE(""https://docs.google.com/spreadsheets/d/1kVcqe37tkHyjCSG3S0O1AXqVkqjo8mSIZil3BcpIysc/edit?usp=sharing"",""ศูนย์!D63"")"),1860)</f>
        <v>1860</v>
      </c>
      <c r="K338" s="497">
        <f ca="1">IF(I338&gt;0,J338*100/I338,0)</f>
        <v>186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IFERROR(__xludf.DUMMYFUNCTION("IMPORTRANGE(""https://docs.google.com/spreadsheets/d/1QqKyyYR6Q21VydFLVH3TRQUabQu_ym0Zz7PgGX0-kHA/edit?usp=sharing"",""แผน!EH63"")"),3)</f>
        <v>3</v>
      </c>
      <c r="J340" s="269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IFERROR(__xludf.DUMMYFUNCTION("IMPORTRANGE(""https://docs.google.com/spreadsheets/d/1kVcqe37tkHyjCSG3S0O1AXqVkqjo8mSIZil3BcpIysc/edit?usp=sharing"",""ศูนย์!G63"")"),1)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774650</v>
      </c>
      <c r="M345" s="154">
        <f ca="1">M346+M347</f>
        <v>834650</v>
      </c>
      <c r="N345" s="154">
        <f ca="1">N346+N347</f>
        <v>834649.45</v>
      </c>
      <c r="O345" s="154">
        <f t="shared" ref="O345:O353" ca="1" si="59">IF(L345&gt;0,N345*100/L345,0)</f>
        <v>107.74536242173885</v>
      </c>
      <c r="P345" s="154">
        <f t="shared" ref="P345:P353" ca="1" si="60">IF(M345&gt;0,N345*100/M345,0)</f>
        <v>99.999934104115496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774650</v>
      </c>
      <c r="M347" s="92">
        <f t="shared" ca="1" si="61"/>
        <v>834650</v>
      </c>
      <c r="N347" s="92">
        <f t="shared" ca="1" si="61"/>
        <v>834649.45</v>
      </c>
      <c r="O347" s="92">
        <f t="shared" ca="1" si="59"/>
        <v>107.74536242173885</v>
      </c>
      <c r="P347" s="92">
        <f t="shared" ca="1" si="60"/>
        <v>99.999934104115496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585250</v>
      </c>
      <c r="M348" s="497">
        <f ca="1">M349+M350</f>
        <v>645250</v>
      </c>
      <c r="N348" s="497">
        <f ca="1">N349+N350</f>
        <v>645249.44999999995</v>
      </c>
      <c r="O348" s="497">
        <f t="shared" ca="1" si="59"/>
        <v>110.25193507048269</v>
      </c>
      <c r="P348" s="497">
        <f t="shared" ca="1" si="60"/>
        <v>99.999914761720248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IFERROR(__xludf.DUMMYFUNCTION("IMPORTRANGE(""https://docs.google.com/spreadsheets/d/1MeEWN-I1oV_STSDYn1IFDPWt_1FKiwhDph83XaGc0o0/edit?usp=sharing"",""งบพรบ!EW63"")"),585250)</f>
        <v>585250</v>
      </c>
      <c r="M350" s="92">
        <f ca="1">IFERROR(__xludf.DUMMYFUNCTION("IMPORTRANGE(""https://docs.google.com/spreadsheets/d/1MeEWN-I1oV_STSDYn1IFDPWt_1FKiwhDph83XaGc0o0/edit?usp=sharing"",""งบพรบ!FB63"")"),645250)</f>
        <v>645250</v>
      </c>
      <c r="N350" s="92">
        <f ca="1">IFERROR(__xludf.DUMMYFUNCTION("IMPORTRANGE(""https://docs.google.com/spreadsheets/d/1MeEWN-I1oV_STSDYn1IFDPWt_1FKiwhDph83XaGc0o0/edit?usp=sharing"",""งบพรบ!FD63"")"),645249.45)</f>
        <v>645249.44999999995</v>
      </c>
      <c r="O350" s="92">
        <f t="shared" ca="1" si="59"/>
        <v>110.25193507048269</v>
      </c>
      <c r="P350" s="92">
        <f t="shared" ca="1" si="60"/>
        <v>99.999914761720248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189400</v>
      </c>
      <c r="M351" s="497">
        <f ca="1">M352+M353</f>
        <v>189400</v>
      </c>
      <c r="N351" s="497">
        <f ca="1">N352+N353</f>
        <v>189400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IFERROR(__xludf.DUMMYFUNCTION("IMPORTRANGE(""https://docs.google.com/spreadsheets/d/1MeEWN-I1oV_STSDYn1IFDPWt_1FKiwhDph83XaGc0o0/edit?usp=sharing"",""งบพรบ!EZ63"")"),189400)</f>
        <v>189400</v>
      </c>
      <c r="M353" s="92">
        <f ca="1">IFERROR(__xludf.DUMMYFUNCTION("IMPORTRANGE(""https://docs.google.com/spreadsheets/d/1MeEWN-I1oV_STSDYn1IFDPWt_1FKiwhDph83XaGc0o0/edit?usp=sharing"",""งบพรบ!FC63"")"),189400)</f>
        <v>189400</v>
      </c>
      <c r="N353" s="92">
        <f ca="1">IFERROR(__xludf.DUMMYFUNCTION("IMPORTRANGE(""https://docs.google.com/spreadsheets/d/1MeEWN-I1oV_STSDYn1IFDPWt_1FKiwhDph83XaGc0o0/edit?usp=sharing"",""งบพรบ!FE63"")"),189400)</f>
        <v>189400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54</v>
      </c>
      <c r="K355" s="465">
        <f ca="1">IF(I355&gt;0,J355*100/I355,0)</f>
        <v>135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IFERROR(__xludf.DUMMYFUNCTION("IMPORTRANGE(""https://docs.google.com/spreadsheets/d/1XWAQStnk-4SwqDmLtmXYiTMKHgktTP8We1SCoS47DrQ/edit?usp=sharing"",""จัดที่ดิน!W63"")"),47)</f>
        <v>47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IFERROR(__xludf.DUMMYFUNCTION("IMPORTRANGE(""https://docs.google.com/spreadsheets/d/1QqKyyYR6Q21VydFLVH3TRQUabQu_ym0Zz7PgGX0-kHA/edit?usp=sharing"",""แผน!EO63"")"),500)</f>
        <v>500</v>
      </c>
      <c r="J359" s="269">
        <f ca="1">IFERROR(__xludf.DUMMYFUNCTION("IMPORTRANGE(""https://docs.google.com/spreadsheets/d/1XWAQStnk-4SwqDmLtmXYiTMKHgktTP8We1SCoS47DrQ/edit?usp=sharing"",""จัดที่ดิน!X63"")"),825.55)</f>
        <v>825.55</v>
      </c>
      <c r="K359" s="497">
        <f t="shared" ca="1" si="62"/>
        <v>165.11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IFERROR(__xludf.DUMMYFUNCTION("IMPORTRANGE(""https://docs.google.com/spreadsheets/d/1QqKyyYR6Q21VydFLVH3TRQUabQu_ym0Zz7PgGX0-kHA/edit?usp=sharing"",""แผน!EP63"")"),40)</f>
        <v>40</v>
      </c>
      <c r="J360" s="269">
        <f ca="1">IFERROR(__xludf.DUMMYFUNCTION("IMPORTRANGE(""https://docs.google.com/spreadsheets/d/1XWAQStnk-4SwqDmLtmXYiTMKHgktTP8We1SCoS47DrQ/edit?usp=sharing"",""จัดที่ดิน!Y63"")"),46)</f>
        <v>46</v>
      </c>
      <c r="K360" s="497">
        <f t="shared" ca="1" si="62"/>
        <v>115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IFERROR(__xludf.DUMMYFUNCTION("IMPORTRANGE(""https://docs.google.com/spreadsheets/d/1XWAQStnk-4SwqDmLtmXYiTMKHgktTP8We1SCoS47DrQ/edit?usp=sharing"",""จัดที่ดิน!Z63"")"),726.53)</f>
        <v>726.53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IFERROR(__xludf.DUMMYFUNCTION("IMPORTRANGE(""https://docs.google.com/spreadsheets/d/1QqKyyYR6Q21VydFLVH3TRQUabQu_ym0Zz7PgGX0-kHA/edit?usp=sharing"",""แผน!EP63"")"),40)</f>
        <v>40</v>
      </c>
      <c r="J362" s="269">
        <f ca="1">IFERROR(__xludf.DUMMYFUNCTION("IMPORTRANGE(""https://docs.google.com/spreadsheets/d/1XWAQStnk-4SwqDmLtmXYiTMKHgktTP8We1SCoS47DrQ/edit?usp=sharing"",""จัดที่ดิน!AA63"")"),54)</f>
        <v>54</v>
      </c>
      <c r="K362" s="497">
        <f t="shared" ca="1" si="62"/>
        <v>135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IFERROR(__xludf.DUMMYFUNCTION("IMPORTRANGE(""https://docs.google.com/spreadsheets/d/1XWAQStnk-4SwqDmLtmXYiTMKHgktTP8We1SCoS47DrQ/edit?usp=sharing"",""จัดที่ดิน!AB63"")"),776.58)</f>
        <v>776.58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80</v>
      </c>
      <c r="J364" s="478">
        <f ca="1">J365+J374</f>
        <v>201</v>
      </c>
      <c r="K364" s="479">
        <f t="shared" ca="1" si="62"/>
        <v>251.25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26</v>
      </c>
      <c r="K365" s="491">
        <f t="shared" ca="1" si="62"/>
        <v>162.5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IFERROR(__xludf.DUMMYFUNCTION("IMPORTRANGE(""https://docs.google.com/spreadsheets/d/1XWAQStnk-4SwqDmLtmXYiTMKHgktTP8We1SCoS47DrQ/edit?usp=sharing"",""จัดที่ดิน!E63"")"),16)</f>
        <v>16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IFERROR(__xludf.DUMMYFUNCTION("IMPORTRANGE(""https://docs.google.com/spreadsheets/d/1QqKyyYR6Q21VydFLVH3TRQUabQu_ym0Zz7PgGX0-kHA/edit?usp=sharing"",""แผน!EI63"")"),200)</f>
        <v>200</v>
      </c>
      <c r="J369" s="269">
        <f ca="1">IFERROR(__xludf.DUMMYFUNCTION("IMPORTRANGE(""https://docs.google.com/spreadsheets/d/1XWAQStnk-4SwqDmLtmXYiTMKHgktTP8We1SCoS47DrQ/edit?usp=sharing"",""จัดที่ดิน!F63"")"),469.47)</f>
        <v>469.47</v>
      </c>
      <c r="K369" s="497">
        <f t="shared" ca="1" si="63"/>
        <v>234.73500000000001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IFERROR(__xludf.DUMMYFUNCTION("IMPORTRANGE(""https://docs.google.com/spreadsheets/d/1QqKyyYR6Q21VydFLVH3TRQUabQu_ym0Zz7PgGX0-kHA/edit?usp=sharing"",""แผน!EJ63"")"),16)</f>
        <v>16</v>
      </c>
      <c r="J370" s="269">
        <f ca="1">IFERROR(__xludf.DUMMYFUNCTION("IMPORTRANGE(""https://docs.google.com/spreadsheets/d/1XWAQStnk-4SwqDmLtmXYiTMKHgktTP8We1SCoS47DrQ/edit?usp=sharing"",""จัดที่ดิน!G63"")"),23)</f>
        <v>23</v>
      </c>
      <c r="K370" s="497">
        <f t="shared" ca="1" si="63"/>
        <v>143.75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IFERROR(__xludf.DUMMYFUNCTION("IMPORTRANGE(""https://docs.google.com/spreadsheets/d/1XWAQStnk-4SwqDmLtmXYiTMKHgktTP8We1SCoS47DrQ/edit?usp=sharing"",""จัดที่ดิน!H63"")"),488.97)</f>
        <v>488.97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IFERROR(__xludf.DUMMYFUNCTION("IMPORTRANGE(""https://docs.google.com/spreadsheets/d/1QqKyyYR6Q21VydFLVH3TRQUabQu_ym0Zz7PgGX0-kHA/edit?usp=sharing"",""แผน!EJ63"")"),16)</f>
        <v>16</v>
      </c>
      <c r="J372" s="269">
        <f ca="1">IFERROR(__xludf.DUMMYFUNCTION("IMPORTRANGE(""https://docs.google.com/spreadsheets/d/1XWAQStnk-4SwqDmLtmXYiTMKHgktTP8We1SCoS47DrQ/edit?usp=sharing"",""จัดที่ดิน!I63"")"),26)</f>
        <v>26</v>
      </c>
      <c r="K372" s="497">
        <f t="shared" ca="1" si="63"/>
        <v>162.5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IFERROR(__xludf.DUMMYFUNCTION("IMPORTRANGE(""https://docs.google.com/spreadsheets/d/1XWAQStnk-4SwqDmLtmXYiTMKHgktTP8We1SCoS47DrQ/edit?usp=sharing"",""จัดที่ดิน!J63"")"),513.98)</f>
        <v>513.98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175</v>
      </c>
      <c r="K374" s="491">
        <f t="shared" ca="1" si="63"/>
        <v>273.4375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IFERROR(__xludf.DUMMYFUNCTION("IMPORTRANGE(""https://docs.google.com/spreadsheets/d/1XWAQStnk-4SwqDmLtmXYiTMKHgktTP8We1SCoS47DrQ/edit?usp=sharing"",""จัดที่ดิน!AH63"")"),31)</f>
        <v>31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IFERROR(__xludf.DUMMYFUNCTION("IMPORTRANGE(""https://docs.google.com/spreadsheets/d/1QqKyyYR6Q21VydFLVH3TRQUabQu_ym0Zz7PgGX0-kHA/edit?usp=sharing"",""แผน!ET63"")"),300)</f>
        <v>300</v>
      </c>
      <c r="J378" s="269">
        <f ca="1">IFERROR(__xludf.DUMMYFUNCTION("IMPORTRANGE(""https://docs.google.com/spreadsheets/d/1XWAQStnk-4SwqDmLtmXYiTMKHgktTP8We1SCoS47DrQ/edit?usp=sharing"",""จัดที่ดิน!AI63"")"),356.08)</f>
        <v>356.08</v>
      </c>
      <c r="K378" s="497">
        <f t="shared" ca="1" si="64"/>
        <v>118.69333333333333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IFERROR(__xludf.DUMMYFUNCTION("IMPORTRANGE(""https://docs.google.com/spreadsheets/d/1QqKyyYR6Q21VydFLVH3TRQUabQu_ym0Zz7PgGX0-kHA/edit?usp=sharing"",""แผน!EU63"")"),64)</f>
        <v>64</v>
      </c>
      <c r="J379" s="269">
        <f ca="1">IFERROR(__xludf.DUMMYFUNCTION("IMPORTRANGE(""https://docs.google.com/spreadsheets/d/1XWAQStnk-4SwqDmLtmXYiTMKHgktTP8We1SCoS47DrQ/edit?usp=sharing"",""จัดที่ดิน!AJ63"")"),73)</f>
        <v>73</v>
      </c>
      <c r="K379" s="497">
        <f t="shared" ca="1" si="64"/>
        <v>114.0625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IFERROR(__xludf.DUMMYFUNCTION("IMPORTRANGE(""https://docs.google.com/spreadsheets/d/1XWAQStnk-4SwqDmLtmXYiTMKHgktTP8We1SCoS47DrQ/edit?usp=sharing"",""จัดที่ดิน!AK63"")"),1230.87)</f>
        <v>1230.8699999999999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IFERROR(__xludf.DUMMYFUNCTION("IMPORTRANGE(""https://docs.google.com/spreadsheets/d/1QqKyyYR6Q21VydFLVH3TRQUabQu_ym0Zz7PgGX0-kHA/edit?usp=sharing"",""แผน!EU63"")"),64)</f>
        <v>64</v>
      </c>
      <c r="J381" s="269">
        <f ca="1">IFERROR(__xludf.DUMMYFUNCTION("IMPORTRANGE(""https://docs.google.com/spreadsheets/d/1XWAQStnk-4SwqDmLtmXYiTMKHgktTP8We1SCoS47DrQ/edit?usp=sharing"",""จัดที่ดิน!AL63"")"),175)</f>
        <v>175</v>
      </c>
      <c r="K381" s="497">
        <f t="shared" ca="1" si="64"/>
        <v>273.4375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IFERROR(__xludf.DUMMYFUNCTION("IMPORTRANGE(""https://docs.google.com/spreadsheets/d/1XWAQStnk-4SwqDmLtmXYiTMKHgktTP8We1SCoS47DrQ/edit?usp=sharing"",""จัดที่ดิน!AM63"")"),2978.71)</f>
        <v>2978.71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IFERROR(__xludf.DUMMYFUNCTION("IMPORTRANGE(""https://docs.google.com/spreadsheets/d/1XWAQStnk-4SwqDmLtmXYiTMKHgktTP8We1SCoS47DrQ/edit?usp=sharing"",""จัดที่ดิน!AP63"")"),5)</f>
        <v>5</v>
      </c>
      <c r="K385" s="502">
        <f ca="1">IF(I385&gt;0,J385*100/I385,0)</f>
        <v>100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IFERROR(__xludf.DUMMYFUNCTION("IMPORTRANGE(""https://docs.google.com/spreadsheets/d/1MeEWN-I1oV_STSDYn1IFDPWt_1FKiwhDph83XaGc0o0/edit?usp=sharing"",""งบพรบ!FG63"")"),0)</f>
        <v>0</v>
      </c>
      <c r="M394" s="92">
        <f ca="1">IFERROR(__xludf.DUMMYFUNCTION("IMPORTRANGE(""https://docs.google.com/spreadsheets/d/1MeEWN-I1oV_STSDYn1IFDPWt_1FKiwhDph83XaGc0o0/edit?usp=sharing"",""งบพรบ!FL63"")"),0)</f>
        <v>0</v>
      </c>
      <c r="N394" s="92">
        <f ca="1">IFERROR(__xludf.DUMMYFUNCTION("IMPORTRANGE(""https://docs.google.com/spreadsheets/d/1MeEWN-I1oV_STSDYn1IFDPWt_1FKiwhDph83XaGc0o0/edit?usp=sharing"",""งบพรบ!FN63"")"),0)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IFERROR(__xludf.DUMMYFUNCTION("IMPORTRANGE(""https://docs.google.com/spreadsheets/d/1MeEWN-I1oV_STSDYn1IFDPWt_1FKiwhDph83XaGc0o0/edit?usp=sharing"",""งบพรบ!FJ63"")"),0)</f>
        <v>0</v>
      </c>
      <c r="M397" s="92">
        <f ca="1">IFERROR(__xludf.DUMMYFUNCTION("IMPORTRANGE(""https://docs.google.com/spreadsheets/d/1MeEWN-I1oV_STSDYn1IFDPWt_1FKiwhDph83XaGc0o0/edit?usp=sharing"",""งบพรบ!FM63"")"),0)</f>
        <v>0</v>
      </c>
      <c r="N397" s="92">
        <f ca="1">IFERROR(__xludf.DUMMYFUNCTION("IMPORTRANGE(""https://docs.google.com/spreadsheets/d/1MeEWN-I1oV_STSDYn1IFDPWt_1FKiwhDph83XaGc0o0/edit?usp=sharing"",""งบพรบ!FO63"")"),0)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IFERROR(__xludf.DUMMYFUNCTION("IMPORTRANGE(""https://docs.google.com/spreadsheets/d/1MeEWN-I1oV_STSDYn1IFDPWt_1FKiwhDph83XaGc0o0/edit?usp=sharing"",""งบพรบ!FQ63"")"),0)</f>
        <v>0</v>
      </c>
      <c r="M407" s="92">
        <f ca="1">IFERROR(__xludf.DUMMYFUNCTION("IMPORTRANGE(""https://docs.google.com/spreadsheets/d/1MeEWN-I1oV_STSDYn1IFDPWt_1FKiwhDph83XaGc0o0/edit?usp=sharing"",""งบพรบ!FV63"")"),0)</f>
        <v>0</v>
      </c>
      <c r="N407" s="92">
        <f ca="1">IFERROR(__xludf.DUMMYFUNCTION("IMPORTRANGE(""https://docs.google.com/spreadsheets/d/1MeEWN-I1oV_STSDYn1IFDPWt_1FKiwhDph83XaGc0o0/edit?usp=sharing"",""งบพรบ!FX63"")"),0)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IFERROR(__xludf.DUMMYFUNCTION("IMPORTRANGE(""https://docs.google.com/spreadsheets/d/1MeEWN-I1oV_STSDYn1IFDPWt_1FKiwhDph83XaGc0o0/edit?usp=sharing"",""งบพรบ!FT63"")"),0)</f>
        <v>0</v>
      </c>
      <c r="M410" s="92">
        <f ca="1">IFERROR(__xludf.DUMMYFUNCTION("IMPORTRANGE(""https://docs.google.com/spreadsheets/d/1MeEWN-I1oV_STSDYn1IFDPWt_1FKiwhDph83XaGc0o0/edit?usp=sharing"",""งบพรบ!FW63"")"),0)</f>
        <v>0</v>
      </c>
      <c r="N410" s="92">
        <f ca="1">IFERROR(__xludf.DUMMYFUNCTION("IMPORTRANGE(""https://docs.google.com/spreadsheets/d/1MeEWN-I1oV_STSDYn1IFDPWt_1FKiwhDph83XaGc0o0/edit?usp=sharing"",""งบพรบ!FY63"")"),0)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723543</v>
      </c>
      <c r="M414" s="549">
        <f ca="1">M419+M444+M467+M502+M523+M544+M629+M655+M685+M737+M754+M770+M786+M805</f>
        <v>741263</v>
      </c>
      <c r="N414" s="549">
        <f>N419+N444+N467+N502+N523+N544+N629+N655+N685+N737+N754+N770+N786+N805</f>
        <v>741263</v>
      </c>
      <c r="O414" s="549">
        <f ca="1">IF(L414&gt;0,N414*100/L414,0)</f>
        <v>102.44905969652115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66560</v>
      </c>
      <c r="M419" s="154">
        <f ca="1">M420+M421</f>
        <v>90660</v>
      </c>
      <c r="N419" s="154">
        <f>N420+N421</f>
        <v>90660</v>
      </c>
      <c r="O419" s="154">
        <f t="shared" ref="O419:O424" ca="1" si="71">IF(L419&gt;0,N419*100/L419,0)</f>
        <v>136.20793269230768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66560</v>
      </c>
      <c r="M421" s="92">
        <f t="shared" ca="1" si="73"/>
        <v>90660</v>
      </c>
      <c r="N421" s="92">
        <f t="shared" si="73"/>
        <v>90660</v>
      </c>
      <c r="O421" s="92">
        <f t="shared" ca="1" si="71"/>
        <v>136.20793269230768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90660</v>
      </c>
      <c r="N422" s="497">
        <f>N423+N424</f>
        <v>90660</v>
      </c>
      <c r="O422" s="497">
        <f t="shared" ca="1" si="71"/>
        <v>136.20793269230768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IFERROR(__xludf.DUMMYFUNCTION("IMPORTRANGE(""https://docs.google.com/spreadsheets/d/1QqKyyYR6Q21VydFLVH3TRQUabQu_ym0Zz7PgGX0-kHA/edit?usp=sharing"",""แผน!EY63"")"),66560)</f>
        <v>66560</v>
      </c>
      <c r="M424" s="92">
        <f ca="1">L424+6900+17200</f>
        <v>90660</v>
      </c>
      <c r="N424" s="92">
        <f>N425+N426+N427+N428</f>
        <v>90660</v>
      </c>
      <c r="O424" s="92">
        <f t="shared" ca="1" si="71"/>
        <v>136.20793269230768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45820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44840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IFERROR(__xludf.DUMMYFUNCTION("IMPORTRANGE(""https://docs.google.com/spreadsheets/d/1QqKyyYR6Q21VydFLVH3TRQUabQu_ym0Zz7PgGX0-kHA/edit?usp=sharing"",""แผน!FE63"")"),0)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IFERROR(__xludf.DUMMYFUNCTION("IMPORTRANGE(""https://docs.google.com/spreadsheets/d/1QqKyyYR6Q21VydFLVH3TRQUabQu_ym0Zz7PgGX0-kHA/edit?usp=sharing"",""แผน!FG63"")"),1)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IFERROR(__xludf.DUMMYFUNCTION("IMPORTRANGE(""https://docs.google.com/spreadsheets/d/1QqKyyYR6Q21VydFLVH3TRQUabQu_ym0Zz7PgGX0-kHA/edit?usp=sharing"",""แผน!FH63"")"),0)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30</v>
      </c>
      <c r="J442" s="585">
        <f>J460</f>
        <v>30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90</v>
      </c>
      <c r="J443" s="565">
        <f>J462</f>
        <v>90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172480</v>
      </c>
      <c r="M444" s="194">
        <f ca="1">M445+M446</f>
        <v>183470</v>
      </c>
      <c r="N444" s="194">
        <f>N445+N446</f>
        <v>183470</v>
      </c>
      <c r="O444" s="194">
        <f t="shared" ref="O444:O449" ca="1" si="75">IF(L444&gt;0,N444*100/L444,0)</f>
        <v>106.37175324675324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172480</v>
      </c>
      <c r="M446" s="92">
        <f t="shared" ca="1" si="77"/>
        <v>183470</v>
      </c>
      <c r="N446" s="92">
        <f t="shared" si="77"/>
        <v>183470</v>
      </c>
      <c r="O446" s="92">
        <f t="shared" ca="1" si="75"/>
        <v>106.37175324675324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172480</v>
      </c>
      <c r="M447" s="497">
        <f ca="1">M448+M449</f>
        <v>183470</v>
      </c>
      <c r="N447" s="497">
        <f>N448+N449</f>
        <v>183470</v>
      </c>
      <c r="O447" s="497">
        <f t="shared" ca="1" si="75"/>
        <v>106.37175324675324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IFERROR(__xludf.DUMMYFUNCTION("IMPORTRANGE(""https://docs.google.com/spreadsheets/d/1QqKyyYR6Q21VydFLVH3TRQUabQu_ym0Zz7PgGX0-kHA/edit?usp=sharing"",""แผน!FJ63"")"),172480)</f>
        <v>172480</v>
      </c>
      <c r="M449" s="92">
        <f ca="1">L449+10990</f>
        <v>183470</v>
      </c>
      <c r="N449" s="92">
        <f>N450+N451+N452+N453</f>
        <v>183470</v>
      </c>
      <c r="O449" s="92">
        <f t="shared" ca="1" si="75"/>
        <v>106.37175324675324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80060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12410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IFERROR(__xludf.DUMMYFUNCTION("IMPORTRANGE(""https://docs.google.com/spreadsheets/d/1QqKyyYR6Q21VydFLVH3TRQUabQu_ym0Zz7PgGX0-kHA/edit?usp=sharing"",""แผน!FN63"")"),30)</f>
        <v>30</v>
      </c>
      <c r="J460" s="214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IFERROR(__xludf.DUMMYFUNCTION("IMPORTRANGE(""https://docs.google.com/spreadsheets/d/1QqKyyYR6Q21VydFLVH3TRQUabQu_ym0Zz7PgGX0-kHA/edit?usp=sharing"",""แผน!FO63"")"),90)</f>
        <v>90</v>
      </c>
      <c r="J462" s="214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IFERROR(__xludf.DUMMYFUNCTION("IMPORTRANGE(""https://docs.google.com/spreadsheets/d/1QqKyyYR6Q21VydFLVH3TRQUabQu_ym0Zz7PgGX0-kHA/edit?usp=sharing"",""แผน!FO63"")"),90)</f>
        <v>90</v>
      </c>
      <c r="J463" s="214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IFERROR(__xludf.DUMMYFUNCTION("IMPORTRANGE(""https://docs.google.com/spreadsheets/d/1QqKyyYR6Q21VydFLVH3TRQUabQu_ym0Zz7PgGX0-kHA/edit?usp=sharing"",""แผน!FN63"")"),30)</f>
        <v>30</v>
      </c>
      <c r="J464" s="214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300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250523</v>
      </c>
      <c r="M467" s="194">
        <f ca="1">M468+M469</f>
        <v>255463</v>
      </c>
      <c r="N467" s="194">
        <f>N468+N469</f>
        <v>255463</v>
      </c>
      <c r="O467" s="194">
        <f t="shared" ref="O467:O472" ca="1" si="78">IF(L467&gt;0,N467*100/L467,0)</f>
        <v>101.97187483783924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250523</v>
      </c>
      <c r="M469" s="92">
        <f t="shared" ca="1" si="80"/>
        <v>255463</v>
      </c>
      <c r="N469" s="92">
        <f t="shared" si="80"/>
        <v>255463</v>
      </c>
      <c r="O469" s="92">
        <f t="shared" ca="1" si="78"/>
        <v>101.97187483783924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250523</v>
      </c>
      <c r="M470" s="497">
        <f ca="1">M471+M472</f>
        <v>255463</v>
      </c>
      <c r="N470" s="497">
        <f>N471+N472</f>
        <v>255463</v>
      </c>
      <c r="O470" s="497">
        <f t="shared" ca="1" si="78"/>
        <v>101.97187483783924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IFERROR(__xludf.DUMMYFUNCTION("IMPORTRANGE(""https://docs.google.com/spreadsheets/d/1QqKyyYR6Q21VydFLVH3TRQUabQu_ym0Zz7PgGX0-kHA/edit?usp=sharing"",""แผน!FS63"")"),250523)</f>
        <v>250523</v>
      </c>
      <c r="M472" s="92">
        <f ca="1">L472+4940</f>
        <v>255463</v>
      </c>
      <c r="N472" s="92">
        <f>N473+N474+N475+N476</f>
        <v>255463</v>
      </c>
      <c r="O472" s="92">
        <f t="shared" ca="1" si="78"/>
        <v>101.97187483783924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55170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10293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IFERROR(__xludf.DUMMYFUNCTION("IMPORTRANGE(""https://docs.google.com/spreadsheets/d/1QqKyyYR6Q21VydFLVH3TRQUabQu_ym0Zz7PgGX0-kHA/edit?usp=sharing"",""แผน!FY63"")"),270)</f>
        <v>270</v>
      </c>
      <c r="J483" s="214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IFERROR(__xludf.DUMMYFUNCTION("IMPORTRANGE(""https://docs.google.com/spreadsheets/d/1QqKyyYR6Q21VydFLVH3TRQUabQu_ym0Zz7PgGX0-kHA/edit?usp=sharing"",""แผน!FZ63"")"),27)</f>
        <v>27</v>
      </c>
      <c r="J485" s="214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IFERROR(__xludf.DUMMYFUNCTION("IMPORTRANGE(""https://docs.google.com/spreadsheets/d/1QqKyyYR6Q21VydFLVH3TRQUabQu_ym0Zz7PgGX0-kHA/edit?usp=sharing"",""แผน!GA63"")"),30)</f>
        <v>30</v>
      </c>
      <c r="J487" s="214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IFERROR(__xludf.DUMMYFUNCTION("IMPORTRANGE(""https://docs.google.com/spreadsheets/d/1QqKyyYR6Q21VydFLVH3TRQUabQu_ym0Zz7PgGX0-kHA/edit?usp=sharing"",""แผน!GB63"")"),3)</f>
        <v>3</v>
      </c>
      <c r="J489" s="214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IFERROR(__xludf.DUMMYFUNCTION("IMPORTRANGE(""https://docs.google.com/spreadsheets/d/1QqKyyYR6Q21VydFLVH3TRQUabQu_ym0Zz7PgGX0-kHA/edit?usp=sharing"",""แผน!GC63"")"),1)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IFERROR(__xludf.DUMMYFUNCTION("IMPORTRANGE(""https://docs.google.com/spreadsheets/d/1QqKyyYR6Q21VydFLVH3TRQUabQu_ym0Zz7PgGX0-kHA/edit?usp=sharing"",""แผน!FY63"")"),270)</f>
        <v>270</v>
      </c>
      <c r="J495" s="214">
        <v>270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IFERROR(__xludf.DUMMYFUNCTION("IMPORTRANGE(""https://docs.google.com/spreadsheets/d/1QqKyyYR6Q21VydFLVH3TRQUabQu_ym0Zz7PgGX0-kHA/edit?usp=sharing"",""แผน!GA63"")"),30)</f>
        <v>30</v>
      </c>
      <c r="J498" s="214">
        <v>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IFERROR(__xludf.DUMMYFUNCTION("IMPORTRANGE(""https://docs.google.com/spreadsheets/d/1QqKyyYR6Q21VydFLVH3TRQUabQu_ym0Zz7PgGX0-kHA/edit?usp=sharing"",""แผน!GQ63"")"),0)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IFERROR(__xludf.DUMMYFUNCTION("IMPORTRANGE(""https://docs.google.com/spreadsheets/d/1QqKyyYR6Q21VydFLVH3TRQUabQu_ym0Zz7PgGX0-kHA/edit?usp=sharing"",""แผน!GV63"")"),0)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IFERROR(__xludf.DUMMYFUNCTION("IMPORTRANGE(""https://docs.google.com/spreadsheets/d/1QqKyyYR6Q21VydFLVH3TRQUabQu_ym0Zz7PgGX0-kHA/edit?usp=sharing"",""แผน!GW63"")"),0)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IFERROR(__xludf.DUMMYFUNCTION("IMPORTRANGE(""https://docs.google.com/spreadsheets/d/1QqKyyYR6Q21VydFLVH3TRQUabQu_ym0Zz7PgGX0-kHA/edit?usp=sharing"",""แผน!GX63"")"),0)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IFERROR(__xludf.DUMMYFUNCTION("IMPORTRANGE(""https://docs.google.com/spreadsheets/d/1QqKyyYR6Q21VydFLVH3TRQUabQu_ym0Zz7PgGX0-kHA/edit?usp=sharing"",""แผน!GY63"")"),0)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IFERROR(__xludf.DUMMYFUNCTION("IMPORTRANGE(""https://docs.google.com/spreadsheets/d/1QqKyyYR6Q21VydFLVH3TRQUabQu_ym0Zz7PgGX0-kHA/edit?usp=sharing"",""แผน!GZ63"")"),0)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218300</v>
      </c>
      <c r="M544" s="154">
        <f ca="1">M545+M546</f>
        <v>204510</v>
      </c>
      <c r="N544" s="154">
        <f>N545+N546</f>
        <v>204510</v>
      </c>
      <c r="O544" s="154">
        <f t="shared" ref="O544:O549" ca="1" si="88">IF(L544&gt;0,N544*100/L544,0)</f>
        <v>93.683005038937239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218300</v>
      </c>
      <c r="M546" s="92">
        <f ca="1">M549+M556</f>
        <v>204510</v>
      </c>
      <c r="N546" s="92">
        <f>N549+N556</f>
        <v>204510</v>
      </c>
      <c r="O546" s="92">
        <f t="shared" ca="1" si="88"/>
        <v>93.683005038937239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218300</v>
      </c>
      <c r="M547" s="497">
        <f ca="1">M548+M549</f>
        <v>204510</v>
      </c>
      <c r="N547" s="497">
        <f>N548+N549</f>
        <v>204510</v>
      </c>
      <c r="O547" s="497">
        <f t="shared" ca="1" si="88"/>
        <v>93.683005038937239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IFERROR(__xludf.DUMMYFUNCTION("IMPORTRANGE(""https://docs.google.com/spreadsheets/d/1QqKyyYR6Q21VydFLVH3TRQUabQu_ym0Zz7PgGX0-kHA/edit?usp=sharing"",""แผน!HB63"")"),218300)</f>
        <v>218300</v>
      </c>
      <c r="M549" s="92">
        <f ca="1">L549-13790</f>
        <v>204510</v>
      </c>
      <c r="N549" s="92">
        <f>N550+N551+N552+N553+N554</f>
        <v>204510</v>
      </c>
      <c r="O549" s="92">
        <f t="shared" ca="1" si="88"/>
        <v>93.683005038937239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143000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61510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IFERROR(__xludf.DUMMYFUNCTION("IMPORTRANGE(""https://docs.google.com/spreadsheets/d/1QqKyyYR6Q21VydFLVH3TRQUabQu_ym0Zz7PgGX0-kHA/edit?usp=sharing"",""แผน!HH63"")"),0)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IFERROR(__xludf.DUMMYFUNCTION("IMPORTRANGE(""https://docs.google.com/spreadsheets/d/1QqKyyYR6Q21VydFLVH3TRQUabQu_ym0Zz7PgGX0-kHA/edit?usp=sharing"",""แผน!HG63"")"),0)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IFERROR(__xludf.DUMMYFUNCTION("IMPORTRANGE(""https://docs.google.com/spreadsheets/d/1QqKyyYR6Q21VydFLVH3TRQUabQu_ym0Zz7PgGX0-kHA/edit?usp=sharing"",""แผน!HH63"")"),0)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IFERROR(__xludf.DUMMYFUNCTION("IMPORTRANGE(""https://docs.google.com/spreadsheets/d/1QqKyyYR6Q21VydFLVH3TRQUabQu_ym0Zz7PgGX0-kHA/edit?usp=sharing"",""แผน!HG63"")"),0)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IFERROR(__xludf.DUMMYFUNCTION("IMPORTRANGE(""https://docs.google.com/spreadsheets/d/1QqKyyYR6Q21VydFLVH3TRQUabQu_ym0Zz7PgGX0-kHA/edit?usp=sharing"",""แผน!HH63"")"),0)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IFERROR(__xludf.DUMMYFUNCTION("IMPORTRANGE(""https://docs.google.com/spreadsheets/d/1QqKyyYR6Q21VydFLVH3TRQUabQu_ym0Zz7PgGX0-kHA/edit?usp=sharing"",""แผน!HG63"")"),0)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792.63</v>
      </c>
      <c r="J592" s="703">
        <f>J593</f>
        <v>792.63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2">
        <f>J595+J603+J609</f>
        <v>792.63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IFERROR(__xludf.DUMMYFUNCTION("IMPORTRANGE(""https://docs.google.com/spreadsheets/d/1QqKyyYR6Q21VydFLVH3TRQUabQu_ym0Zz7PgGX0-kHA/edit?usp=sharing"",""แผน!HI63"")"),21)</f>
        <v>21</v>
      </c>
      <c r="J594" s="192">
        <f>J596+J604+J610</f>
        <v>21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21.2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0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21.2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1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771.43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20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714.43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17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57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3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IFERROR(__xludf.DUMMYFUNCTION("IMPORTRANGE(""https://docs.google.com/spreadsheets/d/1QqKyyYR6Q21VydFLVH3TRQUabQu_ym0Zz7PgGX0-kHA/edit?usp=sharing"",""แผน!HN63"")"),0)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IFERROR(__xludf.DUMMYFUNCTION("IMPORTRANGE(""https://docs.google.com/spreadsheets/d/1QqKyyYR6Q21VydFLVH3TRQUabQu_ym0Zz7PgGX0-kHA/edit?usp=sharing"",""แผน!HR63"")"),0)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IFERROR(__xludf.DUMMYFUNCTION("IMPORTRANGE(""https://docs.google.com/spreadsheets/d/1QqKyyYR6Q21VydFLVH3TRQUabQu_ym0Zz7PgGX0-kHA/edit?usp=sharing"",""แผน!HR63"")"),0)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IFERROR(__xludf.DUMMYFUNCTION("IMPORTRANGE(""https://docs.google.com/spreadsheets/d/1XWAQStnk-4SwqDmLtmXYiTMKHgktTP8We1SCoS47DrQ/edit?usp=sharing"",""จัดที่ดิน!AS63"")"),3)</f>
        <v>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IFERROR(__xludf.DUMMYFUNCTION("IMPORTRANGE(""https://docs.google.com/spreadsheets/d/1XWAQStnk-4SwqDmLtmXYiTMKHgktTP8We1SCoS47DrQ/edit?usp=sharing"",""จัดที่ดิน!AT63"")"),1.46)</f>
        <v>1.46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IFERROR(__xludf.DUMMYFUNCTION("IMPORTRANGE(""https://docs.google.com/spreadsheets/d/1QqKyyYR6Q21VydFLVH3TRQUabQu_ym0Zz7PgGX0-kHA/edit?usp=sharing"",""แผน!HS63"")"),0)</f>
        <v>0</v>
      </c>
      <c r="J647" s="269">
        <f ca="1">IFERROR(__xludf.DUMMYFUNCTION("IMPORTRANGE(""https://docs.google.com/spreadsheets/d/1XWAQStnk-4SwqDmLtmXYiTMKHgktTP8We1SCoS47DrQ/edit?usp=sharing"",""จัดที่ดิน!AU63"")"),0)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IFERROR(__xludf.DUMMYFUNCTION("IMPORTRANGE(""https://docs.google.com/spreadsheets/d/1QqKyyYR6Q21VydFLVH3TRQUabQu_ym0Zz7PgGX0-kHA/edit?usp=sharing"",""แผน!HS63"")"),0)</f>
        <v>0</v>
      </c>
      <c r="J649" s="269">
        <f ca="1">IFERROR(__xludf.DUMMYFUNCTION("IMPORTRANGE(""https://docs.google.com/spreadsheets/d/1XWAQStnk-4SwqDmLtmXYiTMKHgktTP8We1SCoS47DrQ/edit?usp=sharing"",""จัดที่ดิน!AW63"")"),0)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IFERROR(__xludf.DUMMYFUNCTION("IMPORTRANGE(""https://docs.google.com/spreadsheets/d/1QqKyyYR6Q21VydFLVH3TRQUabQu_ym0Zz7PgGX0-kHA/edit?usp=sharing"",""แผน!HS63"")"),0)</f>
        <v>0</v>
      </c>
      <c r="J651" s="269">
        <f ca="1">IFERROR(__xludf.DUMMYFUNCTION("IMPORTRANGE(""https://docs.google.com/spreadsheets/d/1XWAQStnk-4SwqDmLtmXYiTMKHgktTP8We1SCoS47DrQ/edit?usp=sharing"",""จัดที่ดิน!AY63"")"),0)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5000</v>
      </c>
      <c r="N655" s="194">
        <f>N656+N657</f>
        <v>5000</v>
      </c>
      <c r="O655" s="194">
        <f t="shared" ref="O655:O660" ca="1" si="94">IF(L655&gt;0,N655*100/L655,0)</f>
        <v>53.191489361702125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5000</v>
      </c>
      <c r="N657" s="92">
        <f t="shared" si="96"/>
        <v>5000</v>
      </c>
      <c r="O657" s="92">
        <f t="shared" ca="1" si="94"/>
        <v>53.191489361702125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5000</v>
      </c>
      <c r="N658" s="497">
        <f>N659+N660</f>
        <v>5000</v>
      </c>
      <c r="O658" s="497">
        <f t="shared" ca="1" si="94"/>
        <v>53.191489361702125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IFERROR(__xludf.DUMMYFUNCTION("IMPORTRANGE(""https://docs.google.com/spreadsheets/d/1QqKyyYR6Q21VydFLVH3TRQUabQu_ym0Zz7PgGX0-kHA/edit?usp=sharing"",""แผน!HV63"")"),9400)</f>
        <v>9400</v>
      </c>
      <c r="M660" s="92">
        <f ca="1">L660-4400</f>
        <v>5000</v>
      </c>
      <c r="N660" s="92">
        <f>N661+N662+N663+N664</f>
        <v>5000</v>
      </c>
      <c r="O660" s="92">
        <f t="shared" ca="1" si="94"/>
        <v>53.191489361702125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5000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IFERROR(__xludf.DUMMYFUNCTION("IMPORTRANGE(""https://docs.google.com/spreadsheets/d/1QqKyyYR6Q21VydFLVH3TRQUabQu_ym0Zz7PgGX0-kHA/edit?usp=sharing"",""แผน!HZ63"")"),4)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IFERROR(__xludf.DUMMYFUNCTION("IMPORTRANGE(""https://docs.google.com/spreadsheets/d/1QqKyyYR6Q21VydFLVH3TRQUabQu_ym0Zz7PgGX0-kHA/edit?usp=sharing"",""แผน!HZ63"")"),4)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54</v>
      </c>
      <c r="K672" s="497">
        <f ca="1">IF(I$669&gt;0,J672*100/I$669,0)</f>
        <v>108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54</v>
      </c>
      <c r="K673" s="497">
        <f ca="1">IF(I$669&gt;0,J673*100/I$669,0)</f>
        <v>108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6280</v>
      </c>
      <c r="M685" s="194">
        <f ca="1">M686+M687</f>
        <v>2160</v>
      </c>
      <c r="N685" s="194">
        <f>N686+N687</f>
        <v>2160</v>
      </c>
      <c r="O685" s="194">
        <f ca="1">IF(L685&gt;0,N685*100/L685,0)</f>
        <v>34.394904458598724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6280</v>
      </c>
      <c r="M687" s="92">
        <f t="shared" ca="1" si="97"/>
        <v>2160</v>
      </c>
      <c r="N687" s="92">
        <f t="shared" si="97"/>
        <v>2160</v>
      </c>
      <c r="O687" s="92">
        <f ca="1">IF(L687&gt;0,N687*100/L687,0)</f>
        <v>34.394904458598724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6280</v>
      </c>
      <c r="M688" s="497">
        <f ca="1">M689+M690</f>
        <v>2160</v>
      </c>
      <c r="N688" s="497">
        <f>N689+N690</f>
        <v>2160</v>
      </c>
      <c r="O688" s="497">
        <f ca="1">IF(L688&gt;0,N688*100/L688,0)</f>
        <v>34.394904458598724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IFERROR(__xludf.DUMMYFUNCTION("IMPORTRANGE(""https://docs.google.com/spreadsheets/d/1QqKyyYR6Q21VydFLVH3TRQUabQu_ym0Zz7PgGX0-kHA/edit?usp=sharing"",""แผน!HW63"")"),6280)</f>
        <v>6280</v>
      </c>
      <c r="M690" s="92">
        <f ca="1">L690-4120</f>
        <v>2160</v>
      </c>
      <c r="N690" s="92">
        <f>N691+N692+N693+N694</f>
        <v>2160</v>
      </c>
      <c r="O690" s="92">
        <f ca="1">IF(L690&gt;0,N690*100/L690,0)</f>
        <v>34.394904458598724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2160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69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69">
        <f ca="1">IFERROR(__xludf.DUMMYFUNCTION("IMPORTRANGE(""https://docs.google.com/spreadsheets/d/1XWAQStnk-4SwqDmLtmXYiTMKHgktTP8We1SCoS47DrQ/edit?usp=sharing"",""จัดที่ดิน!BD63"")"),20)</f>
        <v>20</v>
      </c>
      <c r="K700" s="497">
        <f ca="1">IF(I700&gt;0,J700*100/I700,0)</f>
        <v>64.516129032258064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69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19</v>
      </c>
      <c r="K721" s="194">
        <f ca="1">IF(I721&gt;0,J721*100/I721,0)</f>
        <v>237.5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148.61124999999998</v>
      </c>
      <c r="K722" s="194">
        <f ca="1">IF(I722&gt;0,J722*100/I722,0)</f>
        <v>928.82031249999989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69">
        <f ca="1">IFERROR(__xludf.DUMMYFUNCTION("IMPORTRANGE(""https://docs.google.com/spreadsheets/d/1XWAQStnk-4SwqDmLtmXYiTMKHgktTP8We1SCoS47DrQ/edit?usp=sharing"",""จัดที่ดิน!BM63"")"),5)</f>
        <v>5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IFERROR(__xludf.DUMMYFUNCTION("IMPORTRANGE(""https://docs.google.com/spreadsheets/d/1XWAQStnk-4SwqDmLtmXYiTMKHgktTP8We1SCoS47DrQ/edit?usp=sharing"",""จัดที่ดิน!BN63"")"),6)</f>
        <v>6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69">
        <f ca="1">IFERROR(__xludf.DUMMYFUNCTION("IMPORTRANGE(""https://docs.google.com/spreadsheets/d/1XWAQStnk-4SwqDmLtmXYiTMKHgktTP8We1SCoS47DrQ/edit?usp=sharing"",""จัดที่ดิน!BO63"")"),79.64625)</f>
        <v>79.646249999999995</v>
      </c>
      <c r="K725" s="497">
        <f ca="1">IF(I725&gt;0,J725*100/I725,0)</f>
        <v>796.46249999999986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69">
        <f ca="1">IFERROR(__xludf.DUMMYFUNCTION("IMPORTRANGE(""https://docs.google.com/spreadsheets/d/1XWAQStnk-4SwqDmLtmXYiTMKHgktTP8We1SCoS47DrQ/edit?usp=sharing"",""จัดที่ดิน!BR63"")"),14)</f>
        <v>14</v>
      </c>
      <c r="K726" s="497">
        <f ca="1">IF(I726&gt;0,J726*100/I726,0)</f>
        <v>466.66666666666669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IFERROR(__xludf.DUMMYFUNCTION("IMPORTRANGE(""https://docs.google.com/spreadsheets/d/1XWAQStnk-4SwqDmLtmXYiTMKHgktTP8We1SCoS47DrQ/edit?usp=sharing"",""จัดที่ดิน!BS63"")"),14)</f>
        <v>14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69">
        <f ca="1">IFERROR(__xludf.DUMMYFUNCTION("IMPORTRANGE(""https://docs.google.com/spreadsheets/d/1XWAQStnk-4SwqDmLtmXYiTMKHgktTP8We1SCoS47DrQ/edit?usp=sharing"",""จัดที่ดิน!BT63"")"),68.965)</f>
        <v>68.965000000000003</v>
      </c>
      <c r="K728" s="497">
        <f ca="1">IF(I728&gt;0,J728*100/I728,0)</f>
        <v>1149.4166666666667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IFERROR(__xludf.DUMMYFUNCTION("IMPORTRANGE(""https://docs.google.com/spreadsheets/d/1QqKyyYR6Q21VydFLVH3TRQUabQu_ym0Zz7PgGX0-kHA/edit?usp=sharing"",""แผน!JJ63"")"),0)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IFERROR(__xludf.DUMMYFUNCTION("IMPORTRANGE(""https://docs.google.com/spreadsheets/d/1QqKyyYR6Q21VydFLVH3TRQUabQu_ym0Zz7PgGX0-kHA/edit?usp=sharing"",""แผน!JN63"")"),0)</f>
        <v>0</v>
      </c>
      <c r="J800" s="183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IFERROR(__xludf.DUMMYFUNCTION("IMPORTRANGE(""https://docs.google.com/spreadsheets/d/19vJNZY_5yjcGF2XGBMNZRCAIB0Kwfpjp8YEOfu-bneM/edit?usp=sharing"",""งานกองทุน!D63"")"),8090909.31)</f>
        <v>8090909.3099999996</v>
      </c>
      <c r="J821" s="269">
        <f ca="1">IFERROR(__xludf.DUMMYFUNCTION("IMPORTRANGE(""https://docs.google.com/spreadsheets/d/19vJNZY_5yjcGF2XGBMNZRCAIB0Kwfpjp8YEOfu-bneM/edit?usp=sharing"",""งานกองทุน!F63"")"),8038410.31)</f>
        <v>8038410.3099999996</v>
      </c>
      <c r="K821" s="497">
        <f t="shared" ref="K821:K828" ca="1" si="113">IF(I821&gt;0,J821*100/I821,0)</f>
        <v>99.351135972626551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IFERROR(__xludf.DUMMYFUNCTION("IMPORTRANGE(""https://docs.google.com/spreadsheets/d/19vJNZY_5yjcGF2XGBMNZRCAIB0Kwfpjp8YEOfu-bneM/edit?usp=sharing"",""งานกองทุน!C63"")"),183)</f>
        <v>183</v>
      </c>
      <c r="J822" s="269">
        <f ca="1">IFERROR(__xludf.DUMMYFUNCTION("IMPORTRANGE(""https://docs.google.com/spreadsheets/d/19vJNZY_5yjcGF2XGBMNZRCAIB0Kwfpjp8YEOfu-bneM/edit?usp=sharing"",""งานกองทุน!E63"")"),184)</f>
        <v>184</v>
      </c>
      <c r="K822" s="497">
        <f t="shared" ca="1" si="113"/>
        <v>100.5464480874317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69">
        <f ca="1">IFERROR(__xludf.DUMMYFUNCTION("IMPORTRANGE(""https://docs.google.com/spreadsheets/d/19vJNZY_5yjcGF2XGBMNZRCAIB0Kwfpjp8YEOfu-bneM/edit?usp=sharing"",""งานกองทุน!K63"")"),769658.51)</f>
        <v>769658.51</v>
      </c>
      <c r="K823" s="497">
        <f t="shared" ca="1" si="113"/>
        <v>12.188256308057994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IFERROR(__xludf.DUMMYFUNCTION("IMPORTRANGE(""https://docs.google.com/spreadsheets/d/19vJNZY_5yjcGF2XGBMNZRCAIB0Kwfpjp8YEOfu-bneM/edit?usp=sharing"",""งานกองทุน!H63"")"),147)</f>
        <v>147</v>
      </c>
      <c r="J824" s="269">
        <f ca="1">IFERROR(__xludf.DUMMYFUNCTION("IMPORTRANGE(""https://docs.google.com/spreadsheets/d/19vJNZY_5yjcGF2XGBMNZRCAIB0Kwfpjp8YEOfu-bneM/edit?usp=sharing"",""งานกองทุน!J63"")"),101)</f>
        <v>101</v>
      </c>
      <c r="K824" s="497">
        <f t="shared" ca="1" si="113"/>
        <v>68.707482993197274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69">
        <f ca="1">IFERROR(__xludf.DUMMYFUNCTION("IMPORTRANGE(""https://docs.google.com/spreadsheets/d/19vJNZY_5yjcGF2XGBMNZRCAIB0Kwfpjp8YEOfu-bneM/edit?usp=sharing"",""งานกองทุน!P63"")"),412231.79)</f>
        <v>412231.79</v>
      </c>
      <c r="K825" s="497">
        <f t="shared" ca="1" si="113"/>
        <v>59.422564747077601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IFERROR(__xludf.DUMMYFUNCTION("IMPORTRANGE(""https://docs.google.com/spreadsheets/d/19vJNZY_5yjcGF2XGBMNZRCAIB0Kwfpjp8YEOfu-bneM/edit?usp=sharing"",""งานกองทุน!M63"")"),445)</f>
        <v>445</v>
      </c>
      <c r="J826" s="269">
        <f ca="1">IFERROR(__xludf.DUMMYFUNCTION("IMPORTRANGE(""https://docs.google.com/spreadsheets/d/19vJNZY_5yjcGF2XGBMNZRCAIB0Kwfpjp8YEOfu-bneM/edit?usp=sharing"",""งานกองทุน!O63"")"),432)</f>
        <v>432</v>
      </c>
      <c r="K826" s="497">
        <f t="shared" ca="1" si="113"/>
        <v>97.078651685393254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IFERROR(__xludf.DUMMYFUNCTION("IMPORTRANGE(""https://docs.google.com/spreadsheets/d/19vJNZY_5yjcGF2XGBMNZRCAIB0Kwfpjp8YEOfu-bneM/edit?usp=sharing"",""งานกองทุน!S63"")"),4980000)</f>
        <v>4980000</v>
      </c>
      <c r="J827" s="269">
        <f ca="1">IFERROR(__xludf.DUMMYFUNCTION("IMPORTRANGE(""https://docs.google.com/spreadsheets/d/19vJNZY_5yjcGF2XGBMNZRCAIB0Kwfpjp8YEOfu-bneM/edit?usp=sharing"",""งานกองทุน!U63"")"),7346000)</f>
        <v>7346000</v>
      </c>
      <c r="K827" s="497">
        <f t="shared" ca="1" si="113"/>
        <v>147.51004016064257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IFERROR(__xludf.DUMMYFUNCTION("IMPORTRANGE(""https://docs.google.com/spreadsheets/d/19vJNZY_5yjcGF2XGBMNZRCAIB0Kwfpjp8YEOfu-bneM/edit?usp=sharing"",""งานกองทุน!T63"")"),156)</f>
        <v>156</v>
      </c>
      <c r="K828" s="502">
        <f t="shared" ca="1" si="113"/>
        <v>78.391959798994975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F8B9-ADE0-4254-A46B-C4FDBEAD0B4A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353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3307920</v>
      </c>
      <c r="M8" s="21">
        <f ca="1">M9+M10</f>
        <v>3633818.23</v>
      </c>
      <c r="N8" s="21">
        <f ca="1">N9+N10</f>
        <v>3633818.23</v>
      </c>
      <c r="O8" s="21">
        <f t="shared" ref="O8:O16" ca="1" si="0">IF(L8&gt;0,N8*100/L8,0)</f>
        <v>109.85205899779922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3307920</v>
      </c>
      <c r="M10" s="29">
        <f t="shared" ca="1" si="2"/>
        <v>3633818.23</v>
      </c>
      <c r="N10" s="29">
        <f t="shared" ca="1" si="2"/>
        <v>3633818.23</v>
      </c>
      <c r="O10" s="29">
        <f t="shared" ca="1" si="0"/>
        <v>109.85205899779922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3231920</v>
      </c>
      <c r="M11" s="497">
        <f ca="1">M12+M13</f>
        <v>3557818.23</v>
      </c>
      <c r="N11" s="497">
        <f ca="1">N12+N13</f>
        <v>3557818.23</v>
      </c>
      <c r="O11" s="497">
        <f t="shared" ca="1" si="0"/>
        <v>110.08373443649596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3231920</v>
      </c>
      <c r="M13" s="92">
        <f t="shared" ca="1" si="3"/>
        <v>3557818.23</v>
      </c>
      <c r="N13" s="92">
        <f t="shared" ca="1" si="3"/>
        <v>3557818.23</v>
      </c>
      <c r="O13" s="92">
        <f t="shared" ca="1" si="0"/>
        <v>110.08373443649596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76000</v>
      </c>
      <c r="M14" s="497">
        <f ca="1">M15+M16</f>
        <v>76000</v>
      </c>
      <c r="N14" s="497">
        <f ca="1">N15+N16</f>
        <v>76000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76000</v>
      </c>
      <c r="M16" s="51">
        <f t="shared" ca="1" si="4"/>
        <v>76000</v>
      </c>
      <c r="N16" s="51">
        <f t="shared" ca="1" si="4"/>
        <v>76000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2837820</v>
      </c>
      <c r="M18" s="21">
        <f ca="1">M19+M20</f>
        <v>3157478.81</v>
      </c>
      <c r="N18" s="21">
        <f ca="1">N19+N20</f>
        <v>3157478.81</v>
      </c>
      <c r="O18" s="21">
        <f t="shared" ref="O18:O26" ca="1" si="5">IF(L18&gt;0,N18*100/L18,0)</f>
        <v>111.26423839426039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2837820</v>
      </c>
      <c r="M20" s="29">
        <f t="shared" ca="1" si="7"/>
        <v>3157478.81</v>
      </c>
      <c r="N20" s="29">
        <f t="shared" ca="1" si="7"/>
        <v>3157478.81</v>
      </c>
      <c r="O20" s="29">
        <f t="shared" ca="1" si="5"/>
        <v>111.26423839426039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2761820</v>
      </c>
      <c r="M21" s="497">
        <f ca="1">M22+M23</f>
        <v>3081478.81</v>
      </c>
      <c r="N21" s="497">
        <f ca="1">N22+N23</f>
        <v>3081478.81</v>
      </c>
      <c r="O21" s="497">
        <f t="shared" ca="1" si="5"/>
        <v>111.57420867399034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2761820</v>
      </c>
      <c r="M23" s="92">
        <f t="shared" ca="1" si="8"/>
        <v>3081478.81</v>
      </c>
      <c r="N23" s="92">
        <f t="shared" ca="1" si="8"/>
        <v>3081478.81</v>
      </c>
      <c r="O23" s="92">
        <f t="shared" ca="1" si="5"/>
        <v>111.57420867399034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76000</v>
      </c>
      <c r="M24" s="497">
        <f ca="1">M25+M26</f>
        <v>76000</v>
      </c>
      <c r="N24" s="497">
        <f ca="1">N25+N26</f>
        <v>76000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76000</v>
      </c>
      <c r="M26" s="51">
        <f t="shared" ca="1" si="9"/>
        <v>76000</v>
      </c>
      <c r="N26" s="51">
        <f t="shared" ca="1" si="9"/>
        <v>76000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470100</v>
      </c>
      <c r="M28" s="21">
        <f ca="1">M29+M30</f>
        <v>476339.42</v>
      </c>
      <c r="N28" s="21">
        <f>N29+N30</f>
        <v>476339.42</v>
      </c>
      <c r="O28" s="21">
        <f t="shared" ref="O28:O37" ca="1" si="10">IF(L28&gt;0,N28*100/L28,0)</f>
        <v>101.32725377579239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470100</v>
      </c>
      <c r="M30" s="29">
        <f t="shared" ca="1" si="12"/>
        <v>476339.42</v>
      </c>
      <c r="N30" s="29">
        <f t="shared" si="12"/>
        <v>476339.42</v>
      </c>
      <c r="O30" s="29">
        <f t="shared" ca="1" si="10"/>
        <v>101.32725377579239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470100</v>
      </c>
      <c r="M31" s="497">
        <f ca="1">M32+M33</f>
        <v>476339.42</v>
      </c>
      <c r="N31" s="497">
        <f>N32+N33</f>
        <v>476339.42</v>
      </c>
      <c r="O31" s="497">
        <f t="shared" ca="1" si="10"/>
        <v>101.32725377579239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470100</v>
      </c>
      <c r="M33" s="92">
        <f t="shared" ca="1" si="13"/>
        <v>476339.42</v>
      </c>
      <c r="N33" s="92">
        <f t="shared" si="13"/>
        <v>476339.42</v>
      </c>
      <c r="O33" s="92">
        <f t="shared" ca="1" si="10"/>
        <v>101.32725377579239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2837820</v>
      </c>
      <c r="M37" s="58">
        <f ca="1">M41+M53+M66+M88+M119+M132+M149+M165+M181+M261+M277+M298+M315+M328+M345+M389+M402</f>
        <v>3157478.81</v>
      </c>
      <c r="N37" s="58">
        <f ca="1">N41+N53+N66+N88+N119+N132+N149+N165+N181+N261+N277+N298+N315+N328+N345+N389+N402</f>
        <v>3157478.81</v>
      </c>
      <c r="O37" s="58">
        <f t="shared" ca="1" si="10"/>
        <v>111.26423839426039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312700</v>
      </c>
      <c r="M41" s="84">
        <f ca="1">M42+M43</f>
        <v>478377.54</v>
      </c>
      <c r="N41" s="84">
        <f ca="1">N42+N43</f>
        <v>478377.54</v>
      </c>
      <c r="O41" s="84">
        <f t="shared" ref="O41:O49" ca="1" si="15">IF(L41&gt;0,N41*100/L41,0)</f>
        <v>152.98290374160538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312700</v>
      </c>
      <c r="M43" s="91">
        <f t="shared" ca="1" si="17"/>
        <v>478377.54</v>
      </c>
      <c r="N43" s="91">
        <f t="shared" ca="1" si="17"/>
        <v>478377.54</v>
      </c>
      <c r="O43" s="91">
        <f t="shared" ca="1" si="15"/>
        <v>152.98290374160538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312700</v>
      </c>
      <c r="M44" s="497">
        <f ca="1">M45+M46</f>
        <v>478377.54</v>
      </c>
      <c r="N44" s="497">
        <f ca="1">N45+N46</f>
        <v>478377.54</v>
      </c>
      <c r="O44" s="497">
        <f t="shared" ca="1" si="15"/>
        <v>152.98290374160538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IFERROR(__xludf.DUMMYFUNCTION("IMPORTRANGE(""https://docs.google.com/spreadsheets/d/1MeEWN-I1oV_STSDYn1IFDPWt_1FKiwhDph83XaGc0o0/edit?usp=sharing"",""งบพรบ!M64"")"),312700)</f>
        <v>312700</v>
      </c>
      <c r="M46" s="92">
        <f ca="1">IFERROR(__xludf.DUMMYFUNCTION("IMPORTRANGE(""https://docs.google.com/spreadsheets/d/1MeEWN-I1oV_STSDYn1IFDPWt_1FKiwhDph83XaGc0o0/edit?usp=sharing"",""งบพรบ!R64"")"),478377.54)</f>
        <v>478377.54</v>
      </c>
      <c r="N46" s="92">
        <f ca="1">IFERROR(__xludf.DUMMYFUNCTION("IMPORTRANGE(""https://docs.google.com/spreadsheets/d/1MeEWN-I1oV_STSDYn1IFDPWt_1FKiwhDph83XaGc0o0/edit?usp=sharing"",""งบพรบ!T64"")"),478377.54)</f>
        <v>478377.54</v>
      </c>
      <c r="O46" s="92">
        <f t="shared" ca="1" si="15"/>
        <v>152.98290374160538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IFERROR(__xludf.DUMMYFUNCTION("IMPORTRANGE(""https://docs.google.com/spreadsheets/d/1MeEWN-I1oV_STSDYn1IFDPWt_1FKiwhDph83XaGc0o0/edit?usp=sharing"",""งบพรบ!P64"")"),0)</f>
        <v>0</v>
      </c>
      <c r="M49" s="51">
        <f ca="1">IFERROR(__xludf.DUMMYFUNCTION("IMPORTRANGE(""https://docs.google.com/spreadsheets/d/1MeEWN-I1oV_STSDYn1IFDPWt_1FKiwhDph83XaGc0o0/edit?usp=sharing"",""งบพรบ!S64"")"),0)</f>
        <v>0</v>
      </c>
      <c r="N49" s="51">
        <f ca="1">IFERROR(__xludf.DUMMYFUNCTION("IMPORTRANGE(""https://docs.google.com/spreadsheets/d/1MeEWN-I1oV_STSDYn1IFDPWt_1FKiwhDph83XaGc0o0/edit?usp=sharing"",""งบพรบ!U64"")"),0)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356900</v>
      </c>
      <c r="M53" s="115">
        <f ca="1">M54+M55</f>
        <v>378851.27</v>
      </c>
      <c r="N53" s="115">
        <f ca="1">N54+N55</f>
        <v>378851.27</v>
      </c>
      <c r="O53" s="115">
        <f t="shared" ref="O53:O61" ca="1" si="18">IF(L53&gt;0,N53*100/L53,0)</f>
        <v>106.15053796581675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356900</v>
      </c>
      <c r="M55" s="122">
        <f t="shared" ca="1" si="20"/>
        <v>378851.27</v>
      </c>
      <c r="N55" s="122">
        <f t="shared" ca="1" si="20"/>
        <v>378851.27</v>
      </c>
      <c r="O55" s="122">
        <f t="shared" ca="1" si="18"/>
        <v>106.15053796581675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356900</v>
      </c>
      <c r="M56" s="497">
        <f ca="1">M57+M58</f>
        <v>378851.27</v>
      </c>
      <c r="N56" s="497">
        <f ca="1">N57+N58</f>
        <v>378851.27</v>
      </c>
      <c r="O56" s="497">
        <f t="shared" ca="1" si="18"/>
        <v>106.15053796581675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IFERROR(__xludf.DUMMYFUNCTION("IMPORTRANGE(""https://docs.google.com/spreadsheets/d/1MeEWN-I1oV_STSDYn1IFDPWt_1FKiwhDph83XaGc0o0/edit?usp=sharing"",""งบพรบ!W64"")"),356900)</f>
        <v>356900</v>
      </c>
      <c r="M58" s="92">
        <f ca="1">IFERROR(__xludf.DUMMYFUNCTION("IMPORTRANGE(""https://docs.google.com/spreadsheets/d/1MeEWN-I1oV_STSDYn1IFDPWt_1FKiwhDph83XaGc0o0/edit?usp=sharing"",""งบพรบ!AB64"")"),378851.27)</f>
        <v>378851.27</v>
      </c>
      <c r="N58" s="92">
        <f ca="1">IFERROR(__xludf.DUMMYFUNCTION("IMPORTRANGE(""https://docs.google.com/spreadsheets/d/1MeEWN-I1oV_STSDYn1IFDPWt_1FKiwhDph83XaGc0o0/edit?usp=sharing"",""งบพรบ!AD64"")"),378851.27)</f>
        <v>378851.27</v>
      </c>
      <c r="O58" s="92">
        <f t="shared" ca="1" si="18"/>
        <v>106.15053796581675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IFERROR(__xludf.DUMMYFUNCTION("IMPORTRANGE(""https://docs.google.com/spreadsheets/d/1MeEWN-I1oV_STSDYn1IFDPWt_1FKiwhDph83XaGc0o0/edit?usp=sharing"",""งบพรบ!Z64"")"),0)</f>
        <v>0</v>
      </c>
      <c r="M61" s="51">
        <f ca="1">IFERROR(__xludf.DUMMYFUNCTION("IMPORTRANGE(""https://docs.google.com/spreadsheets/d/1MeEWN-I1oV_STSDYn1IFDPWt_1FKiwhDph83XaGc0o0/edit?usp=sharing"",""งบพรบ!AC64"")"),0)</f>
        <v>0</v>
      </c>
      <c r="N61" s="51">
        <f ca="1">IFERROR(__xludf.DUMMYFUNCTION("IMPORTRANGE(""https://docs.google.com/spreadsheets/d/1MeEWN-I1oV_STSDYn1IFDPWt_1FKiwhDph83XaGc0o0/edit?usp=sharing"",""งบพรบ!AE64"")"),0)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42</v>
      </c>
      <c r="J65" s="143">
        <f>J77</f>
        <v>42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609800</v>
      </c>
      <c r="M66" s="154">
        <f ca="1">M67+M68</f>
        <v>622800</v>
      </c>
      <c r="N66" s="154">
        <f ca="1">N67+N68</f>
        <v>622800</v>
      </c>
      <c r="O66" s="154">
        <f t="shared" ref="O66:O74" ca="1" si="21">IF(L66&gt;0,N66*100/L66,0)</f>
        <v>102.13184650705149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609800</v>
      </c>
      <c r="M68" s="92">
        <f t="shared" ca="1" si="23"/>
        <v>622800</v>
      </c>
      <c r="N68" s="92">
        <f t="shared" ca="1" si="23"/>
        <v>622800</v>
      </c>
      <c r="O68" s="92">
        <f t="shared" ca="1" si="21"/>
        <v>102.13184650705149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609800</v>
      </c>
      <c r="M69" s="497">
        <f ca="1">M70+M71</f>
        <v>622800</v>
      </c>
      <c r="N69" s="497">
        <f ca="1">N70+N71</f>
        <v>622800</v>
      </c>
      <c r="O69" s="497">
        <f t="shared" ca="1" si="21"/>
        <v>102.13184650705149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IFERROR(__xludf.DUMMYFUNCTION("IMPORTRANGE(""https://docs.google.com/spreadsheets/d/1MeEWN-I1oV_STSDYn1IFDPWt_1FKiwhDph83XaGc0o0/edit?usp=sharing"",""งบพรบ!AG64"")"),609800)</f>
        <v>609800</v>
      </c>
      <c r="M71" s="92">
        <f ca="1">IFERROR(__xludf.DUMMYFUNCTION("IMPORTRANGE(""https://docs.google.com/spreadsheets/d/1MeEWN-I1oV_STSDYn1IFDPWt_1FKiwhDph83XaGc0o0/edit?usp=sharing"",""งบพรบ!AL64"")"),622800)</f>
        <v>622800</v>
      </c>
      <c r="N71" s="92">
        <f ca="1">IFERROR(__xludf.DUMMYFUNCTION("IMPORTRANGE(""https://docs.google.com/spreadsheets/d/1MeEWN-I1oV_STSDYn1IFDPWt_1FKiwhDph83XaGc0o0/edit?usp=sharing"",""งบพรบ!AN64"")"),622800)</f>
        <v>622800</v>
      </c>
      <c r="O71" s="92">
        <f t="shared" ca="1" si="21"/>
        <v>102.13184650705149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IFERROR(__xludf.DUMMYFUNCTION("IMPORTRANGE(""https://docs.google.com/spreadsheets/d/1MeEWN-I1oV_STSDYn1IFDPWt_1FKiwhDph83XaGc0o0/edit?usp=sharing"",""งบพรบ!AJ64"")"),0)</f>
        <v>0</v>
      </c>
      <c r="M74" s="92">
        <f ca="1">IFERROR(__xludf.DUMMYFUNCTION("IMPORTRANGE(""https://docs.google.com/spreadsheets/d/1MeEWN-I1oV_STSDYn1IFDPWt_1FKiwhDph83XaGc0o0/edit?usp=sharing"",""งบพรบ!AM64"")"),0)</f>
        <v>0</v>
      </c>
      <c r="N74" s="92">
        <f ca="1">IFERROR(__xludf.DUMMYFUNCTION("IMPORTRANGE(""https://docs.google.com/spreadsheets/d/1MeEWN-I1oV_STSDYn1IFDPWt_1FKiwhDph83XaGc0o0/edit?usp=sharing"",""งบพรบ!AO64"")"),0)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42</v>
      </c>
      <c r="J77" s="269">
        <f>J79+J81+J83</f>
        <v>42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IFERROR(__xludf.DUMMYFUNCTION("IMPORTRANGE(""https://docs.google.com/spreadsheets/d/1QqKyyYR6Q21VydFLVH3TRQUabQu_ym0Zz7PgGX0-kHA/edit?usp=sharing"",""แผน!H64"")"),1)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IFERROR(__xludf.DUMMYFUNCTION("IMPORTRANGE(""https://docs.google.com/spreadsheets/d/1QqKyyYR6Q21VydFLVH3TRQUabQu_ym0Zz7PgGX0-kHA/edit?usp=sharing"",""แผน!I64"")"),42)</f>
        <v>42</v>
      </c>
      <c r="J79" s="214">
        <v>42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IFERROR(__xludf.DUMMYFUNCTION("IMPORTRANGE(""https://docs.google.com/spreadsheets/d/1QqKyyYR6Q21VydFLVH3TRQUabQu_ym0Zz7PgGX0-kHA/edit?usp=sharing"",""แผน!F64"")"),0)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IFERROR(__xludf.DUMMYFUNCTION("IMPORTRANGE(""https://docs.google.com/spreadsheets/d/1QqKyyYR6Q21VydFLVH3TRQUabQu_ym0Zz7PgGX0-kHA/edit?usp=sharing"",""แผน!G64"")"),0)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IFERROR(__xludf.DUMMYFUNCTION("IMPORTRANGE(""https://docs.google.com/spreadsheets/d/1QqKyyYR6Q21VydFLVH3TRQUabQu_ym0Zz7PgGX0-kHA/edit?usp=sharing"",""แผน!D64"")"),0)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IFERROR(__xludf.DUMMYFUNCTION("IMPORTRANGE(""https://docs.google.com/spreadsheets/d/1QqKyyYR6Q21VydFLVH3TRQUabQu_ym0Zz7PgGX0-kHA/edit?usp=sharing"",""แผน!E64"")"),0)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IFERROR(__xludf.DUMMYFUNCTION("IMPORTRANGE(""https://docs.google.com/spreadsheets/d/1QqKyyYR6Q21VydFLVH3TRQUabQu_ym0Zz7PgGX0-kHA/edit?usp=sharing"",""แผน!J64"")"),1)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31200</v>
      </c>
      <c r="M88" s="154">
        <f ca="1">M89+M90</f>
        <v>31200</v>
      </c>
      <c r="N88" s="154">
        <f ca="1">N89+N90</f>
        <v>31200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31200</v>
      </c>
      <c r="M90" s="92">
        <f t="shared" ca="1" si="27"/>
        <v>31200</v>
      </c>
      <c r="N90" s="92">
        <f t="shared" ca="1" si="27"/>
        <v>31200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31200</v>
      </c>
      <c r="M91" s="497">
        <f ca="1">M92+M93</f>
        <v>31200</v>
      </c>
      <c r="N91" s="497">
        <f ca="1">N92+N93</f>
        <v>31200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IFERROR(__xludf.DUMMYFUNCTION("IMPORTRANGE(""https://docs.google.com/spreadsheets/d/1MeEWN-I1oV_STSDYn1IFDPWt_1FKiwhDph83XaGc0o0/edit?usp=sharing"",""งบพรบ!AQ64"")"),31200)</f>
        <v>31200</v>
      </c>
      <c r="M93" s="92">
        <f ca="1">IFERROR(__xludf.DUMMYFUNCTION("IMPORTRANGE(""https://docs.google.com/spreadsheets/d/1MeEWN-I1oV_STSDYn1IFDPWt_1FKiwhDph83XaGc0o0/edit?usp=sharing"",""งบพรบ!AV64"")"),31200)</f>
        <v>31200</v>
      </c>
      <c r="N93" s="92">
        <f ca="1">IFERROR(__xludf.DUMMYFUNCTION("IMPORTRANGE(""https://docs.google.com/spreadsheets/d/1MeEWN-I1oV_STSDYn1IFDPWt_1FKiwhDph83XaGc0o0/edit?usp=sharing"",""งบพรบ!AX64"")"),31200)</f>
        <v>31200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IFERROR(__xludf.DUMMYFUNCTION("IMPORTRANGE(""https://docs.google.com/spreadsheets/d/1MeEWN-I1oV_STSDYn1IFDPWt_1FKiwhDph83XaGc0o0/edit?usp=sharing"",""งบพรบ!AT64"")"),0)</f>
        <v>0</v>
      </c>
      <c r="M96" s="92">
        <f ca="1">IFERROR(__xludf.DUMMYFUNCTION("IMPORTRANGE(""https://docs.google.com/spreadsheets/d/1MeEWN-I1oV_STSDYn1IFDPWt_1FKiwhDph83XaGc0o0/edit?usp=sharing"",""งบพรบ!AW64"")"),0)</f>
        <v>0</v>
      </c>
      <c r="N96" s="92">
        <f ca="1">IFERROR(__xludf.DUMMYFUNCTION("IMPORTRANGE(""https://docs.google.com/spreadsheets/d/1MeEWN-I1oV_STSDYn1IFDPWt_1FKiwhDph83XaGc0o0/edit?usp=sharing"",""งบพรบ!AY64"")"),0)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IFERROR(__xludf.DUMMYFUNCTION("IMPORTRANGE(""https://docs.google.com/spreadsheets/d/1QqKyyYR6Q21VydFLVH3TRQUabQu_ym0Zz7PgGX0-kHA/edit?usp=sharing"",""แผน!K64"")"),0)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IFERROR(__xludf.DUMMYFUNCTION("IMPORTRANGE(""https://docs.google.com/spreadsheets/d/1QqKyyYR6Q21VydFLVH3TRQUabQu_ym0Zz7PgGX0-kHA/edit?usp=sharing"",""แผน!L64"")"),0)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IFERROR(__xludf.DUMMYFUNCTION("IMPORTRANGE(""https://docs.google.com/spreadsheets/d/1QqKyyYR6Q21VydFLVH3TRQUabQu_ym0Zz7PgGX0-kHA/edit?usp=sharing"",""แผน!M64"")"),1)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IFERROR(__xludf.DUMMYFUNCTION("IMPORTRANGE(""https://docs.google.com/spreadsheets/d/1QqKyyYR6Q21VydFLVH3TRQUabQu_ym0Zz7PgGX0-kHA/edit?usp=sharing"",""แผน!N64"")"),0)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IFERROR(__xludf.DUMMYFUNCTION("IMPORTRANGE(""https://docs.google.com/spreadsheets/d/1QqKyyYR6Q21VydFLVH3TRQUabQu_ym0Zz7PgGX0-kHA/edit?usp=sharing"",""แผน!O64"")"),0)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IFERROR(__xludf.DUMMYFUNCTION("IMPORTRANGE(""https://docs.google.com/spreadsheets/d/1QqKyyYR6Q21VydFLVH3TRQUabQu_ym0Zz7PgGX0-kHA/edit?usp=sharing"",""แผน!O64"")"),0)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IFERROR(__xludf.DUMMYFUNCTION("IMPORTRANGE(""https://docs.google.com/spreadsheets/d/1QqKyyYR6Q21VydFLVH3TRQUabQu_ym0Zz7PgGX0-kHA/edit?usp=sharing"",""แผน!P64"")"),0)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IFERROR(__xludf.DUMMYFUNCTION("IMPORTRANGE(""https://docs.google.com/spreadsheets/d/1QqKyyYR6Q21VydFLVH3TRQUabQu_ym0Zz7PgGX0-kHA/edit?usp=sharing"",""แผน!P64"")"),0)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IFERROR(__xludf.DUMMYFUNCTION("IMPORTRANGE(""https://docs.google.com/spreadsheets/d/1QqKyyYR6Q21VydFLVH3TRQUabQu_ym0Zz7PgGX0-kHA/edit?usp=sharing"",""แผน!Q64"")"),1)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IFERROR(__xludf.DUMMYFUNCTION("IMPORTRANGE(""https://docs.google.com/spreadsheets/d/1QqKyyYR6Q21VydFLVH3TRQUabQu_ym0Zz7PgGX0-kHA/edit?usp=sharing"",""แผน!Q64"")"),1)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IFERROR(__xludf.DUMMYFUNCTION("IMPORTRANGE(""https://docs.google.com/spreadsheets/d/1QqKyyYR6Q21VydFLVH3TRQUabQu_ym0Zz7PgGX0-kHA/edit?usp=sharing"",""แผน!R64"")"),0)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IFERROR(__xludf.DUMMYFUNCTION("IMPORTRANGE(""https://docs.google.com/spreadsheets/d/1QqKyyYR6Q21VydFLVH3TRQUabQu_ym0Zz7PgGX0-kHA/edit?usp=sharing"",""แผน!R64"")"),0)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IFERROR(__xludf.DUMMYFUNCTION("IMPORTRANGE(""https://docs.google.com/spreadsheets/d/1QqKyyYR6Q21VydFLVH3TRQUabQu_ym0Zz7PgGX0-kHA/edit?usp=sharing"",""แผน!S64"")"),0)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IFERROR(__xludf.DUMMYFUNCTION("IMPORTRANGE(""https://docs.google.com/spreadsheets/d/1QqKyyYR6Q21VydFLVH3TRQUabQu_ym0Zz7PgGX0-kHA/edit?usp=sharing"",""แผน!T64"")"),1)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IFERROR(__xludf.DUMMYFUNCTION("IMPORTRANGE(""https://docs.google.com/spreadsheets/d/1MeEWN-I1oV_STSDYn1IFDPWt_1FKiwhDph83XaGc0o0/edit?usp=sharing"",""งบพรบ!BA64"")"),0)</f>
        <v>0</v>
      </c>
      <c r="M124" s="92">
        <f ca="1">IFERROR(__xludf.DUMMYFUNCTION("IMPORTRANGE(""https://docs.google.com/spreadsheets/d/1MeEWN-I1oV_STSDYn1IFDPWt_1FKiwhDph83XaGc0o0/edit?usp=sharing"",""งบพรบ!BF64"")"),0)</f>
        <v>0</v>
      </c>
      <c r="N124" s="92">
        <f ca="1">IFERROR(__xludf.DUMMYFUNCTION("IMPORTRANGE(""https://docs.google.com/spreadsheets/d/1MeEWN-I1oV_STSDYn1IFDPWt_1FKiwhDph83XaGc0o0/edit?usp=sharing"",""งบพรบ!BH64"")"),0)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IFERROR(__xludf.DUMMYFUNCTION("IMPORTRANGE(""https://docs.google.com/spreadsheets/d/1MeEWN-I1oV_STSDYn1IFDPWt_1FKiwhDph83XaGc0o0/edit?usp=sharing"",""งบพรบ!BD64"")"),0)</f>
        <v>0</v>
      </c>
      <c r="M127" s="92">
        <f ca="1">IFERROR(__xludf.DUMMYFUNCTION("IMPORTRANGE(""https://docs.google.com/spreadsheets/d/1MeEWN-I1oV_STSDYn1IFDPWt_1FKiwhDph83XaGc0o0/edit?usp=sharing"",""งบพรบ!BG64"")"),0)</f>
        <v>0</v>
      </c>
      <c r="N127" s="92">
        <f ca="1">IFERROR(__xludf.DUMMYFUNCTION("IMPORTRANGE(""https://docs.google.com/spreadsheets/d/1MeEWN-I1oV_STSDYn1IFDPWt_1FKiwhDph83XaGc0o0/edit?usp=sharing"",""งบพรบ!BI64"")"),0)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IFERROR(__xludf.DUMMYFUNCTION("IMPORTRANGE(""https://docs.google.com/spreadsheets/d/1MeEWN-I1oV_STSDYn1IFDPWt_1FKiwhDph83XaGc0o0/edit?usp=sharing"",""งบพรบ!BK64"")"),0)</f>
        <v>0</v>
      </c>
      <c r="M137" s="92">
        <f ca="1">IFERROR(__xludf.DUMMYFUNCTION("IMPORTRANGE(""https://docs.google.com/spreadsheets/d/1MeEWN-I1oV_STSDYn1IFDPWt_1FKiwhDph83XaGc0o0/edit?usp=sharing"",""งบพรบ!BP64"")"),0)</f>
        <v>0</v>
      </c>
      <c r="N137" s="92">
        <f ca="1">IFERROR(__xludf.DUMMYFUNCTION("IMPORTRANGE(""https://docs.google.com/spreadsheets/d/1MeEWN-I1oV_STSDYn1IFDPWt_1FKiwhDph83XaGc0o0/edit?usp=sharing"",""งบพรบ!BR64"")"),0)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IFERROR(__xludf.DUMMYFUNCTION("IMPORTRANGE(""https://docs.google.com/spreadsheets/d/1MeEWN-I1oV_STSDYn1IFDPWt_1FKiwhDph83XaGc0o0/edit?usp=sharing"",""งบพรบ!BN64"")"),0)</f>
        <v>0</v>
      </c>
      <c r="M140" s="92">
        <f ca="1">IFERROR(__xludf.DUMMYFUNCTION("IMPORTRANGE(""https://docs.google.com/spreadsheets/d/1MeEWN-I1oV_STSDYn1IFDPWt_1FKiwhDph83XaGc0o0/edit?usp=sharing"",""งบพรบ!BQ64"")"),0)</f>
        <v>0</v>
      </c>
      <c r="N140" s="92">
        <f ca="1">IFERROR(__xludf.DUMMYFUNCTION("IMPORTRANGE(""https://docs.google.com/spreadsheets/d/1MeEWN-I1oV_STSDYn1IFDPWt_1FKiwhDph83XaGc0o0/edit?usp=sharing"",""งบพรบ!BS64"")"),0)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IFERROR(__xludf.DUMMYFUNCTION("IMPORTRANGE(""https://docs.google.com/spreadsheets/d/1QqKyyYR6Q21VydFLVH3TRQUabQu_ym0Zz7PgGX0-kHA/edit?usp=sharing"",""แผน!U64"")"),0)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IFERROR(__xludf.DUMMYFUNCTION("IMPORTRANGE(""https://docs.google.com/spreadsheets/d/1QqKyyYR6Q21VydFLVH3TRQUabQu_ym0Zz7PgGX0-kHA/edit?usp=sharing"",""แผน!V64"")"),0)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IFERROR(__xludf.DUMMYFUNCTION("IMPORTRANGE(""https://docs.google.com/spreadsheets/d/1QqKyyYR6Q21VydFLVH3TRQUabQu_ym0Zz7PgGX0-kHA/edit?usp=sharing"",""แผน!W64"")"),0)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10</v>
      </c>
      <c r="J148" s="143">
        <f>J159</f>
        <v>11</v>
      </c>
      <c r="K148" s="144">
        <f ca="1">IF(I148&gt;0,J148*100/I148,0)</f>
        <v>110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5000</v>
      </c>
      <c r="M149" s="154">
        <f ca="1">M150+M151</f>
        <v>14910</v>
      </c>
      <c r="N149" s="154">
        <f ca="1">N150+N151</f>
        <v>14910</v>
      </c>
      <c r="O149" s="154">
        <f t="shared" ref="O149:O157" ca="1" si="35">IF(L149&gt;0,N149*100/L149,0)</f>
        <v>298.2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5000</v>
      </c>
      <c r="M151" s="92">
        <f t="shared" ca="1" si="37"/>
        <v>14910</v>
      </c>
      <c r="N151" s="92">
        <f t="shared" ca="1" si="37"/>
        <v>14910</v>
      </c>
      <c r="O151" s="92">
        <f t="shared" ca="1" si="35"/>
        <v>298.2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5000</v>
      </c>
      <c r="M152" s="497">
        <f ca="1">M153+M154</f>
        <v>14910</v>
      </c>
      <c r="N152" s="497">
        <f ca="1">N153+N154</f>
        <v>14910</v>
      </c>
      <c r="O152" s="497">
        <f t="shared" ca="1" si="35"/>
        <v>298.2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IFERROR(__xludf.DUMMYFUNCTION("IMPORTRANGE(""https://docs.google.com/spreadsheets/d/1MeEWN-I1oV_STSDYn1IFDPWt_1FKiwhDph83XaGc0o0/edit?usp=sharing"",""งบพรบ!BU64"")"),5000)</f>
        <v>5000</v>
      </c>
      <c r="M154" s="92">
        <f ca="1">IFERROR(__xludf.DUMMYFUNCTION("IMPORTRANGE(""https://docs.google.com/spreadsheets/d/1MeEWN-I1oV_STSDYn1IFDPWt_1FKiwhDph83XaGc0o0/edit?usp=sharing"",""งบพรบ!BZ64"")"),14910)</f>
        <v>14910</v>
      </c>
      <c r="N154" s="92">
        <f ca="1">IFERROR(__xludf.DUMMYFUNCTION("IMPORTRANGE(""https://docs.google.com/spreadsheets/d/1MeEWN-I1oV_STSDYn1IFDPWt_1FKiwhDph83XaGc0o0/edit?usp=sharing"",""งบพรบ!CB64"")"),14910)</f>
        <v>14910</v>
      </c>
      <c r="O154" s="92">
        <f t="shared" ca="1" si="35"/>
        <v>298.2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IFERROR(__xludf.DUMMYFUNCTION("IMPORTRANGE(""https://docs.google.com/spreadsheets/d/1MeEWN-I1oV_STSDYn1IFDPWt_1FKiwhDph83XaGc0o0/edit?usp=sharing"",""งบพรบ!BX64"")"),0)</f>
        <v>0</v>
      </c>
      <c r="M157" s="92">
        <f ca="1">IFERROR(__xludf.DUMMYFUNCTION("IMPORTRANGE(""https://docs.google.com/spreadsheets/d/1MeEWN-I1oV_STSDYn1IFDPWt_1FKiwhDph83XaGc0o0/edit?usp=sharing"",""งบพรบ!CA64"")"),0)</f>
        <v>0</v>
      </c>
      <c r="N157" s="92">
        <f ca="1">IFERROR(__xludf.DUMMYFUNCTION("IMPORTRANGE(""https://docs.google.com/spreadsheets/d/1MeEWN-I1oV_STSDYn1IFDPWt_1FKiwhDph83XaGc0o0/edit?usp=sharing"",""งบพรบ!CC64"")"),0)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IFERROR(__xludf.DUMMYFUNCTION("IMPORTRANGE(""https://docs.google.com/spreadsheets/d/1QqKyyYR6Q21VydFLVH3TRQUabQu_ym0Zz7PgGX0-kHA/edit?usp=sharing"",""แผน!X64"")"),10)</f>
        <v>10</v>
      </c>
      <c r="J159" s="214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35660</v>
      </c>
      <c r="N165" s="154">
        <f ca="1">N166+N167</f>
        <v>35660</v>
      </c>
      <c r="O165" s="154">
        <f t="shared" ref="O165:O173" ca="1" si="38">IF(L165&gt;0,N165*100/L165,0)</f>
        <v>154.64006938421508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35660</v>
      </c>
      <c r="N167" s="92">
        <f t="shared" ca="1" si="40"/>
        <v>35660</v>
      </c>
      <c r="O167" s="92">
        <f t="shared" ca="1" si="38"/>
        <v>154.64006938421508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35660</v>
      </c>
      <c r="N168" s="497">
        <f ca="1">N169+N170</f>
        <v>35660</v>
      </c>
      <c r="O168" s="497">
        <f t="shared" ca="1" si="38"/>
        <v>154.64006938421508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IFERROR(__xludf.DUMMYFUNCTION("IMPORTRANGE(""https://docs.google.com/spreadsheets/d/1MeEWN-I1oV_STSDYn1IFDPWt_1FKiwhDph83XaGc0o0/edit?usp=sharing"",""งบพรบ!CE64"")"),23060)</f>
        <v>23060</v>
      </c>
      <c r="M170" s="92">
        <f ca="1">IFERROR(__xludf.DUMMYFUNCTION("IMPORTRANGE(""https://docs.google.com/spreadsheets/d/1MeEWN-I1oV_STSDYn1IFDPWt_1FKiwhDph83XaGc0o0/edit?usp=sharing"",""งบพรบ!CJ64"")"),35660)</f>
        <v>35660</v>
      </c>
      <c r="N170" s="92">
        <f ca="1">IFERROR(__xludf.DUMMYFUNCTION("IMPORTRANGE(""https://docs.google.com/spreadsheets/d/1MeEWN-I1oV_STSDYn1IFDPWt_1FKiwhDph83XaGc0o0/edit?usp=sharing"",""งบพรบ!CL64"")"),35660)</f>
        <v>35660</v>
      </c>
      <c r="O170" s="92">
        <f t="shared" ca="1" si="38"/>
        <v>154.64006938421508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IFERROR(__xludf.DUMMYFUNCTION("IMPORTRANGE(""https://docs.google.com/spreadsheets/d/1MeEWN-I1oV_STSDYn1IFDPWt_1FKiwhDph83XaGc0o0/edit?usp=sharing"",""งบพรบ!CH64"")"),0)</f>
        <v>0</v>
      </c>
      <c r="M173" s="92">
        <f ca="1">IFERROR(__xludf.DUMMYFUNCTION("IMPORTRANGE(""https://docs.google.com/spreadsheets/d/1MeEWN-I1oV_STSDYn1IFDPWt_1FKiwhDph83XaGc0o0/edit?usp=sharing"",""งบพรบ!CK64"")"),0)</f>
        <v>0</v>
      </c>
      <c r="N173" s="92">
        <f ca="1">IFERROR(__xludf.DUMMYFUNCTION("IMPORTRANGE(""https://docs.google.com/spreadsheets/d/1MeEWN-I1oV_STSDYn1IFDPWt_1FKiwhDph83XaGc0o0/edit?usp=sharing"",""งบพรบ!CM64"")"),0)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IFERROR(__xludf.DUMMYFUNCTION("IMPORTRANGE(""https://docs.google.com/spreadsheets/d/1QqKyyYR6Q21VydFLVH3TRQUabQu_ym0Zz7PgGX0-kHA/edit?usp=sharing"",""แผน!Y64"")"),12)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35</v>
      </c>
      <c r="J180" s="252">
        <f>J225+J226</f>
        <v>35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527750</v>
      </c>
      <c r="M181" s="154">
        <f ca="1">M182+M183</f>
        <v>559770</v>
      </c>
      <c r="N181" s="154">
        <f ca="1">N182+N183</f>
        <v>559770</v>
      </c>
      <c r="O181" s="154">
        <f t="shared" ref="O181:O189" ca="1" si="41">IF(L181&gt;0,N181*100/L181,0)</f>
        <v>106.06726669824728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527750</v>
      </c>
      <c r="M183" s="92">
        <f t="shared" ca="1" si="43"/>
        <v>559770</v>
      </c>
      <c r="N183" s="92">
        <f t="shared" ca="1" si="43"/>
        <v>559770</v>
      </c>
      <c r="O183" s="92">
        <f t="shared" ca="1" si="41"/>
        <v>106.06726669824728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527750</v>
      </c>
      <c r="M184" s="497">
        <f ca="1">M185+M186</f>
        <v>559770</v>
      </c>
      <c r="N184" s="497">
        <f ca="1">N185+N186</f>
        <v>559770</v>
      </c>
      <c r="O184" s="497">
        <f t="shared" ca="1" si="41"/>
        <v>106.06726669824728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IFERROR(__xludf.DUMMYFUNCTION("IMPORTRANGE(""https://docs.google.com/spreadsheets/d/1MeEWN-I1oV_STSDYn1IFDPWt_1FKiwhDph83XaGc0o0/edit?usp=sharing"",""งบพรบ!CO64"")"),527750)</f>
        <v>527750</v>
      </c>
      <c r="M186" s="92">
        <f ca="1">IFERROR(__xludf.DUMMYFUNCTION("IMPORTRANGE(""https://docs.google.com/spreadsheets/d/1MeEWN-I1oV_STSDYn1IFDPWt_1FKiwhDph83XaGc0o0/edit?usp=sharing"",""งบพรบ!CT64"")"),559770)</f>
        <v>559770</v>
      </c>
      <c r="N186" s="92">
        <f ca="1">IFERROR(__xludf.DUMMYFUNCTION("IMPORTRANGE(""https://docs.google.com/spreadsheets/d/1MeEWN-I1oV_STSDYn1IFDPWt_1FKiwhDph83XaGc0o0/edit?usp=sharing"",""งบพรบ!CV64"")"),559770)</f>
        <v>559770</v>
      </c>
      <c r="O186" s="92">
        <f t="shared" ca="1" si="41"/>
        <v>106.06726669824728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IFERROR(__xludf.DUMMYFUNCTION("IMPORTRANGE(""https://docs.google.com/spreadsheets/d/1MeEWN-I1oV_STSDYn1IFDPWt_1FKiwhDph83XaGc0o0/edit?usp=sharing"",""งบพรบ!CR64"")"),0)</f>
        <v>0</v>
      </c>
      <c r="M189" s="92">
        <f ca="1">IFERROR(__xludf.DUMMYFUNCTION("IMPORTRANGE(""https://docs.google.com/spreadsheets/d/1MeEWN-I1oV_STSDYn1IFDPWt_1FKiwhDph83XaGc0o0/edit?usp=sharing"",""งบพรบ!CU64"")"),0)</f>
        <v>0</v>
      </c>
      <c r="N189" s="92">
        <f ca="1">IFERROR(__xludf.DUMMYFUNCTION("IMPORTRANGE(""https://docs.google.com/spreadsheets/d/1MeEWN-I1oV_STSDYn1IFDPWt_1FKiwhDph83XaGc0o0/edit?usp=sharing"",""งบพรบ!CW64"")"),0)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IFERROR(__xludf.DUMMYFUNCTION("IMPORTRANGE(""https://docs.google.com/spreadsheets/d/1QqKyyYR6Q21VydFLVH3TRQUabQu_ym0Zz7PgGX0-kHA/edit?usp=sharing"",""แผน!Z64"")"),6000)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IFERROR(__xludf.DUMMYFUNCTION("IMPORTRANGE(""https://docs.google.com/spreadsheets/d/1QqKyyYR6Q21VydFLVH3TRQUabQu_ym0Zz7PgGX0-kHA/edit?usp=sharing"",""แผน!AC64"")"),4)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179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179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IFERROR(__xludf.DUMMYFUNCTION("IMPORTRANGE(""https://docs.google.com/spreadsheets/d/1QqKyyYR6Q21VydFLVH3TRQUabQu_ym0Zz7PgGX0-kHA/edit?usp=sharing"",""แผน!AI64"")"),0)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IFERROR(__xludf.DUMMYFUNCTION("IMPORTRANGE(""https://docs.google.com/spreadsheets/d/1QqKyyYR6Q21VydFLVH3TRQUabQu_ym0Zz7PgGX0-kHA/edit?usp=sharing"",""แผน!AN64"")"),0)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IFERROR(__xludf.DUMMYFUNCTION("IMPORTRANGE(""https://docs.google.com/spreadsheets/d/1QqKyyYR6Q21VydFLVH3TRQUabQu_ym0Zz7PgGX0-kHA/edit?usp=sharing"",""แผน!AN64"")"),0)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IFERROR(__xludf.DUMMYFUNCTION("IMPORTRANGE(""https://docs.google.com/spreadsheets/d/1QqKyyYR6Q21VydFLVH3TRQUabQu_ym0Zz7PgGX0-kHA/edit?usp=sharing"",""แผน!AT64"")"),20000)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IFERROR(__xludf.DUMMYFUNCTION("IMPORTRANGE(""https://docs.google.com/spreadsheets/d/1QqKyyYR6Q21VydFLVH3TRQUabQu_ym0Zz7PgGX0-kHA/edit?usp=sharing"",""แผน!AT64"")"),20000)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IFERROR(__xludf.DUMMYFUNCTION("IMPORTRANGE(""https://docs.google.com/spreadsheets/d/1QqKyyYR6Q21VydFLVH3TRQUabQu_ym0Zz7PgGX0-kHA/edit?usp=sharing"",""แผน!AS64"")"),0)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35</v>
      </c>
      <c r="J226" s="344">
        <f>J237+J248</f>
        <v>35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227750</v>
      </c>
      <c r="M227" s="355"/>
      <c r="N227" s="355">
        <f>N238+N249</f>
        <v>227750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163000</v>
      </c>
      <c r="M228" s="92"/>
      <c r="N228" s="92">
        <f>N239+N250</f>
        <v>163000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37250</v>
      </c>
      <c r="M229" s="92"/>
      <c r="N229" s="92">
        <f>N240+N251</f>
        <v>37250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17500</v>
      </c>
      <c r="M230" s="92"/>
      <c r="N230" s="92">
        <f>N241+N252</f>
        <v>17500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35</v>
      </c>
      <c r="J233" s="612">
        <f>J244+J255</f>
        <v>35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35</v>
      </c>
      <c r="J235" s="612">
        <f>J246+J257</f>
        <v>35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35</v>
      </c>
      <c r="J237" s="271">
        <f>J244</f>
        <v>35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227750</v>
      </c>
      <c r="M238" s="154"/>
      <c r="N238" s="154">
        <f>N239+N240+N241+N242</f>
        <v>227750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IFERROR(__xludf.DUMMYFUNCTION("IMPORTRANGE(""https://docs.google.com/spreadsheets/d/1QqKyyYR6Q21VydFLVH3TRQUabQu_ym0Zz7PgGX0-kHA/edit?usp=sharing"",""แผน!AV64"")"),163000)</f>
        <v>163000</v>
      </c>
      <c r="M239" s="282"/>
      <c r="N239" s="862">
        <v>163000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IFERROR(__xludf.DUMMYFUNCTION("IMPORTRANGE(""https://docs.google.com/spreadsheets/d/1QqKyyYR6Q21VydFLVH3TRQUabQu_ym0Zz7PgGX0-kHA/edit?usp=sharing"",""แผน!AW64"")"),37250)</f>
        <v>37250</v>
      </c>
      <c r="M240" s="282"/>
      <c r="N240" s="862">
        <v>37250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IFERROR(__xludf.DUMMYFUNCTION("IMPORTRANGE(""https://docs.google.com/spreadsheets/d/1QqKyyYR6Q21VydFLVH3TRQUabQu_ym0Zz7PgGX0-kHA/edit?usp=sharing"",""แผน!AX64"")"),17500)</f>
        <v>17500</v>
      </c>
      <c r="M241" s="282"/>
      <c r="N241" s="862">
        <v>17500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IFERROR(__xludf.DUMMYFUNCTION("IMPORTRANGE(""https://docs.google.com/spreadsheets/d/1QqKyyYR6Q21VydFLVH3TRQUabQu_ym0Zz7PgGX0-kHA/edit?usp=sharing"",""แผน!AY64"")"),10000)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IFERROR(__xludf.DUMMYFUNCTION("IMPORTRANGE(""https://docs.google.com/spreadsheets/d/1QqKyyYR6Q21VydFLVH3TRQUabQu_ym0Zz7PgGX0-kHA/edit?usp=sharing"",""แผน!BE64"")"),35)</f>
        <v>35</v>
      </c>
      <c r="J244" s="214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35</v>
      </c>
      <c r="J246" s="214">
        <v>35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IFERROR(__xludf.DUMMYFUNCTION("IMPORTRANGE(""https://docs.google.com/spreadsheets/d/1QqKyyYR6Q21VydFLVH3TRQUabQu_ym0Zz7PgGX0-kHA/edit?usp=sharing"",""แผน!AZ64"")"),0)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IFERROR(__xludf.DUMMYFUNCTION("IMPORTRANGE(""https://docs.google.com/spreadsheets/d/1QqKyyYR6Q21VydFLVH3TRQUabQu_ym0Zz7PgGX0-kHA/edit?usp=sharing"",""แผน!BA64"")"),0)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IFERROR(__xludf.DUMMYFUNCTION("IMPORTRANGE(""https://docs.google.com/spreadsheets/d/1QqKyyYR6Q21VydFLVH3TRQUabQu_ym0Zz7PgGX0-kHA/edit?usp=sharing"",""แผน!BB64"")"),0)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IFERROR(__xludf.DUMMYFUNCTION("IMPORTRANGE(""https://docs.google.com/spreadsheets/d/1QqKyyYR6Q21VydFLVH3TRQUabQu_ym0Zz7PgGX0-kHA/edit?usp=sharing"",""แผน!BC64"")"),0)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IFERROR(__xludf.DUMMYFUNCTION("IMPORTRANGE(""https://docs.google.com/spreadsheets/d/1QqKyyYR6Q21VydFLVH3TRQUabQu_ym0Zz7PgGX0-kHA/edit?usp=sharing"",""แผน!BF64"")"),0)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IFERROR(__xludf.DUMMYFUNCTION("IMPORTRANGE(""https://docs.google.com/spreadsheets/d/1MeEWN-I1oV_STSDYn1IFDPWt_1FKiwhDph83XaGc0o0/edit?usp=sharing"",""งบพรบ!CY64"")"),26900)</f>
        <v>26900</v>
      </c>
      <c r="M266" s="92">
        <f ca="1">IFERROR(__xludf.DUMMYFUNCTION("IMPORTRANGE(""https://docs.google.com/spreadsheets/d/1MeEWN-I1oV_STSDYn1IFDPWt_1FKiwhDph83XaGc0o0/edit?usp=sharing"",""งบพรบ!DD64"")"),26900)</f>
        <v>26900</v>
      </c>
      <c r="N266" s="92">
        <f ca="1">IFERROR(__xludf.DUMMYFUNCTION("IMPORTRANGE(""https://docs.google.com/spreadsheets/d/1MeEWN-I1oV_STSDYn1IFDPWt_1FKiwhDph83XaGc0o0/edit?usp=sharing"",""งบพรบ!DF64"")"),26900)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IFERROR(__xludf.DUMMYFUNCTION("IMPORTRANGE(""https://docs.google.com/spreadsheets/d/1MeEWN-I1oV_STSDYn1IFDPWt_1FKiwhDph83XaGc0o0/edit?usp=sharing"",""งบพรบ!DB64"")"),0)</f>
        <v>0</v>
      </c>
      <c r="M269" s="92">
        <f ca="1">IFERROR(__xludf.DUMMYFUNCTION("IMPORTRANGE(""https://docs.google.com/spreadsheets/d/1MeEWN-I1oV_STSDYn1IFDPWt_1FKiwhDph83XaGc0o0/edit?usp=sharing"",""งบพรบ!DE64"")"),0)</f>
        <v>0</v>
      </c>
      <c r="N269" s="92">
        <f ca="1">IFERROR(__xludf.DUMMYFUNCTION("IMPORTRANGE(""https://docs.google.com/spreadsheets/d/1MeEWN-I1oV_STSDYn1IFDPWt_1FKiwhDph83XaGc0o0/edit?usp=sharing"",""งบพรบ!DG64"")"),0)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IFERROR(__xludf.DUMMYFUNCTION("IMPORTRANGE(""https://docs.google.com/spreadsheets/d/1QqKyyYR6Q21VydFLVH3TRQUabQu_ym0Zz7PgGX0-kHA/edit?usp=sharing"",""แผน!EA64"")"),22)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IFERROR(__xludf.DUMMYFUNCTION("IMPORTRANGE(""https://docs.google.com/spreadsheets/d/1MeEWN-I1oV_STSDYn1IFDPWt_1FKiwhDph83XaGc0o0/edit?usp=sharing"",""งบพรบ!DI64"")"),0)</f>
        <v>0</v>
      </c>
      <c r="M282" s="92">
        <f ca="1">IFERROR(__xludf.DUMMYFUNCTION("IMPORTRANGE(""https://docs.google.com/spreadsheets/d/1MeEWN-I1oV_STSDYn1IFDPWt_1FKiwhDph83XaGc0o0/edit?usp=sharing"",""งบพรบ!DN64"")"),0)</f>
        <v>0</v>
      </c>
      <c r="N282" s="92">
        <f ca="1">IFERROR(__xludf.DUMMYFUNCTION("IMPORTRANGE(""https://docs.google.com/spreadsheets/d/1MeEWN-I1oV_STSDYn1IFDPWt_1FKiwhDph83XaGc0o0/edit?usp=sharing"",""งบพรบ!DP64"")"),0)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IFERROR(__xludf.DUMMYFUNCTION("IMPORTRANGE(""https://docs.google.com/spreadsheets/d/1MeEWN-I1oV_STSDYn1IFDPWt_1FKiwhDph83XaGc0o0/edit?usp=sharing"",""งบพรบ!DL64"")"),0)</f>
        <v>0</v>
      </c>
      <c r="M285" s="92">
        <f ca="1">IFERROR(__xludf.DUMMYFUNCTION("IMPORTRANGE(""https://docs.google.com/spreadsheets/d/1MeEWN-I1oV_STSDYn1IFDPWt_1FKiwhDph83XaGc0o0/edit?usp=sharing"",""งบพรบ!DO64"")"),0)</f>
        <v>0</v>
      </c>
      <c r="N285" s="92">
        <f ca="1">IFERROR(__xludf.DUMMYFUNCTION("IMPORTRANGE(""https://docs.google.com/spreadsheets/d/1MeEWN-I1oV_STSDYn1IFDPWt_1FKiwhDph83XaGc0o0/edit?usp=sharing"",""งบพรบ!DQ64"")"),0)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IFERROR(__xludf.DUMMYFUNCTION("IMPORTRANGE(""https://docs.google.com/spreadsheets/d/1QqKyyYR6Q21VydFLVH3TRQUabQu_ym0Zz7PgGX0-kHA/edit?usp=sharing"",""แผน!EC64"")"),0)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IFERROR(__xludf.DUMMYFUNCTION("IMPORTRANGE(""https://docs.google.com/spreadsheets/d/1QqKyyYR6Q21VydFLVH3TRQUabQu_ym0Zz7PgGX0-kHA/edit?usp=sharing"",""แผน!EB64"")"),0)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IFERROR(__xludf.DUMMYFUNCTION("IMPORTRANGE(""https://docs.google.com/spreadsheets/d/1QqKyyYR6Q21VydFLVH3TRQUabQu_ym0Zz7PgGX0-kHA/edit?usp=sharing"",""แผน!EB64"")"),0)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IFERROR(__xludf.DUMMYFUNCTION("IMPORTRANGE(""https://docs.google.com/spreadsheets/d/1QqKyyYR6Q21VydFLVH3TRQUabQu_ym0Zz7PgGX0-kHA/edit?usp=sharing"",""แผน!EB64"")"),0)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IFERROR(__xludf.DUMMYFUNCTION("IMPORTRANGE(""https://docs.google.com/spreadsheets/d/1QqKyyYR6Q21VydFLVH3TRQUabQu_ym0Zz7PgGX0-kHA/edit?usp=sharing"",""แผน!EB64"")"),0)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63800</v>
      </c>
      <c r="M298" s="154">
        <f ca="1">M299+M300</f>
        <v>63800</v>
      </c>
      <c r="N298" s="154">
        <f ca="1">N299+N300</f>
        <v>63800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63800</v>
      </c>
      <c r="M300" s="92">
        <f t="shared" ca="1" si="52"/>
        <v>63800</v>
      </c>
      <c r="N300" s="92">
        <f t="shared" ca="1" si="52"/>
        <v>63800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63800</v>
      </c>
      <c r="M301" s="497">
        <f ca="1">M302+M303</f>
        <v>63800</v>
      </c>
      <c r="N301" s="497">
        <f ca="1">N302+N303</f>
        <v>63800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IFERROR(__xludf.DUMMYFUNCTION("IMPORTRANGE(""https://docs.google.com/spreadsheets/d/1MeEWN-I1oV_STSDYn1IFDPWt_1FKiwhDph83XaGc0o0/edit?usp=sharing"",""งบพรบ!DS64"")"),63800)</f>
        <v>63800</v>
      </c>
      <c r="M303" s="92">
        <f ca="1">IFERROR(__xludf.DUMMYFUNCTION("IMPORTRANGE(""https://docs.google.com/spreadsheets/d/1MeEWN-I1oV_STSDYn1IFDPWt_1FKiwhDph83XaGc0o0/edit?usp=sharing"",""งบพรบ!DX64"")"),63800)</f>
        <v>63800</v>
      </c>
      <c r="N303" s="92">
        <f ca="1">IFERROR(__xludf.DUMMYFUNCTION("IMPORTRANGE(""https://docs.google.com/spreadsheets/d/1MeEWN-I1oV_STSDYn1IFDPWt_1FKiwhDph83XaGc0o0/edit?usp=sharing"",""งบพรบ!DZ64"")"),63800)</f>
        <v>63800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IFERROR(__xludf.DUMMYFUNCTION("IMPORTRANGE(""https://docs.google.com/spreadsheets/d/1MeEWN-I1oV_STSDYn1IFDPWt_1FKiwhDph83XaGc0o0/edit?usp=sharing"",""งบพรบ!DV64"")"),0)</f>
        <v>0</v>
      </c>
      <c r="M306" s="92">
        <f ca="1">IFERROR(__xludf.DUMMYFUNCTION("IMPORTRANGE(""https://docs.google.com/spreadsheets/d/1MeEWN-I1oV_STSDYn1IFDPWt_1FKiwhDph83XaGc0o0/edit?usp=sharing"",""งบพรบ!DY64"")"),0)</f>
        <v>0</v>
      </c>
      <c r="N306" s="92">
        <f ca="1">IFERROR(__xludf.DUMMYFUNCTION("IMPORTRANGE(""https://docs.google.com/spreadsheets/d/1MeEWN-I1oV_STSDYn1IFDPWt_1FKiwhDph83XaGc0o0/edit?usp=sharing"",""งบพรบ!EA64"")"),0)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IFERROR(__xludf.DUMMYFUNCTION("IMPORTRANGE(""https://docs.google.com/spreadsheets/d/1QqKyyYR6Q21VydFLVH3TRQUabQu_ym0Zz7PgGX0-kHA/edit?usp=sharing"",""แผน!ED64"")"),15)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IFERROR(__xludf.DUMMYFUNCTION("IMPORTRANGE(""https://docs.google.com/spreadsheets/d/1QqKyyYR6Q21VydFLVH3TRQUabQu_ym0Zz7PgGX0-kHA/edit?usp=sharing"",""แผน!ED64"")"),15)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IFERROR(__xludf.DUMMYFUNCTION("IMPORTRANGE(""https://docs.google.com/spreadsheets/d/1QqKyyYR6Q21VydFLVH3TRQUabQu_ym0Zz7PgGX0-kHA/edit?usp=sharing"",""แผน!ED64"")"),15)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IFERROR(__xludf.DUMMYFUNCTION("IMPORTRANGE(""https://docs.google.com/spreadsheets/d/1QqKyyYR6Q21VydFLVH3TRQUabQu_ym0Zz7PgGX0-kHA/edit?usp=sharing"",""แผน!EE64"")"),3)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IFERROR(__xludf.DUMMYFUNCTION("IMPORTRANGE(""https://docs.google.com/spreadsheets/d/1MeEWN-I1oV_STSDYn1IFDPWt_1FKiwhDph83XaGc0o0/edit?usp=sharing"",""งบพรบ!EC64"")"),0)</f>
        <v>0</v>
      </c>
      <c r="M320" s="92">
        <f ca="1">IFERROR(__xludf.DUMMYFUNCTION("IMPORTRANGE(""https://docs.google.com/spreadsheets/d/1MeEWN-I1oV_STSDYn1IFDPWt_1FKiwhDph83XaGc0o0/edit?usp=sharing"",""งบพรบ!EH64"")"),0)</f>
        <v>0</v>
      </c>
      <c r="N320" s="92">
        <f ca="1">IFERROR(__xludf.DUMMYFUNCTION("IMPORTRANGE(""https://docs.google.com/spreadsheets/d/1MeEWN-I1oV_STSDYn1IFDPWt_1FKiwhDph83XaGc0o0/edit?usp=sharing"",""งบพรบ!EJ64"")"),0)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IFERROR(__xludf.DUMMYFUNCTION("IMPORTRANGE(""https://docs.google.com/spreadsheets/d/1MeEWN-I1oV_STSDYn1IFDPWt_1FKiwhDph83XaGc0o0/edit?usp=sharing"",""งบพรบ!EF64"")"),0)</f>
        <v>0</v>
      </c>
      <c r="M323" s="92">
        <f ca="1">IFERROR(__xludf.DUMMYFUNCTION("IMPORTRANGE(""https://docs.google.com/spreadsheets/d/1MeEWN-I1oV_STSDYn1IFDPWt_1FKiwhDph83XaGc0o0/edit?usp=sharing"",""งบพรบ!EI64"")"),0)</f>
        <v>0</v>
      </c>
      <c r="N323" s="92">
        <f ca="1">IFERROR(__xludf.DUMMYFUNCTION("IMPORTRANGE(""https://docs.google.com/spreadsheets/d/1MeEWN-I1oV_STSDYn1IFDPWt_1FKiwhDph83XaGc0o0/edit?usp=sharing"",""งบพรบ!EK64"")"),0)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IFERROR(__xludf.DUMMYFUNCTION("IMPORTRANGE(""https://docs.google.com/spreadsheets/d/1QqKyyYR6Q21VydFLVH3TRQUabQu_ym0Zz7PgGX0-kHA/edit?usp=sharing"",""แผน!EF64"")"),0)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IFERROR(__xludf.DUMMYFUNCTION("IMPORTRANGE(""https://docs.google.com/spreadsheets/d/1QqKyyYR6Q21VydFLVH3TRQUabQu_ym0Zz7PgGX0-kHA/edit?usp=sharing"",""แผน!EG64"")"),800)</f>
        <v>800</v>
      </c>
      <c r="J327" s="443">
        <f ca="1">J338+J341+J342+J343</f>
        <v>1614</v>
      </c>
      <c r="K327" s="444">
        <f ca="1">IF(I327&gt;0,J327*100/I327,0)</f>
        <v>201.75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588600</v>
      </c>
      <c r="M328" s="154">
        <f ca="1">M329+M330</f>
        <v>591100</v>
      </c>
      <c r="N328" s="154">
        <f ca="1">N329+N330</f>
        <v>591100</v>
      </c>
      <c r="O328" s="154">
        <f t="shared" ref="O328:O336" ca="1" si="56">IF(L328&gt;0,N328*100/L328,0)</f>
        <v>100.42473666326877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588600</v>
      </c>
      <c r="M330" s="92">
        <f t="shared" ca="1" si="58"/>
        <v>591100</v>
      </c>
      <c r="N330" s="92">
        <f t="shared" ca="1" si="58"/>
        <v>591100</v>
      </c>
      <c r="O330" s="92">
        <f t="shared" ca="1" si="56"/>
        <v>100.42473666326877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588600</v>
      </c>
      <c r="M331" s="497">
        <f ca="1">M332+M333</f>
        <v>591100</v>
      </c>
      <c r="N331" s="497">
        <f ca="1">N332+N333</f>
        <v>591100</v>
      </c>
      <c r="O331" s="497">
        <f t="shared" ca="1" si="56"/>
        <v>100.42473666326877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IFERROR(__xludf.DUMMYFUNCTION("IMPORTRANGE(""https://docs.google.com/spreadsheets/d/1MeEWN-I1oV_STSDYn1IFDPWt_1FKiwhDph83XaGc0o0/edit?usp=sharing"",""งบพรบ!EM64"")"),588600)</f>
        <v>588600</v>
      </c>
      <c r="M333" s="92">
        <f ca="1">IFERROR(__xludf.DUMMYFUNCTION("IMPORTRANGE(""https://docs.google.com/spreadsheets/d/1MeEWN-I1oV_STSDYn1IFDPWt_1FKiwhDph83XaGc0o0/edit?usp=sharing"",""งบพรบ!ER64"")"),591100)</f>
        <v>591100</v>
      </c>
      <c r="N333" s="92">
        <f ca="1">IFERROR(__xludf.DUMMYFUNCTION("IMPORTRANGE(""https://docs.google.com/spreadsheets/d/1MeEWN-I1oV_STSDYn1IFDPWt_1FKiwhDph83XaGc0o0/edit?usp=sharing"",""งบพรบ!ET64"")"),591100)</f>
        <v>591100</v>
      </c>
      <c r="O333" s="92">
        <f t="shared" ca="1" si="56"/>
        <v>100.42473666326877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IFERROR(__xludf.DUMMYFUNCTION("IMPORTRANGE(""https://docs.google.com/spreadsheets/d/1MeEWN-I1oV_STSDYn1IFDPWt_1FKiwhDph83XaGc0o0/edit?usp=sharing"",""งบพรบ!EP64"")"),0)</f>
        <v>0</v>
      </c>
      <c r="M336" s="92">
        <f ca="1">IFERROR(__xludf.DUMMYFUNCTION("IMPORTRANGE(""https://docs.google.com/spreadsheets/d/1MeEWN-I1oV_STSDYn1IFDPWt_1FKiwhDph83XaGc0o0/edit?usp=sharing"",""งบพรบ!ES64"")"),0)</f>
        <v>0</v>
      </c>
      <c r="N336" s="92">
        <f ca="1">IFERROR(__xludf.DUMMYFUNCTION("IMPORTRANGE(""https://docs.google.com/spreadsheets/d/1MeEWN-I1oV_STSDYn1IFDPWt_1FKiwhDph83XaGc0o0/edit?usp=sharing"",""งบพรบ!EU64"")"),0)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IFERROR(__xludf.DUMMYFUNCTION("IMPORTRANGE(""https://docs.google.com/spreadsheets/d/1QqKyyYR6Q21VydFLVH3TRQUabQu_ym0Zz7PgGX0-kHA/edit?usp=sharing"",""แผน!EG64"")"),800)</f>
        <v>800</v>
      </c>
      <c r="J338" s="269">
        <f ca="1">IFERROR(__xludf.DUMMYFUNCTION("IMPORTRANGE(""https://docs.google.com/spreadsheets/d/1kVcqe37tkHyjCSG3S0O1AXqVkqjo8mSIZil3BcpIysc/edit?usp=sharing"",""ศูนย์!D64"")"),1028)</f>
        <v>1028</v>
      </c>
      <c r="K338" s="497">
        <f ca="1">IF(I338&gt;0,J338*100/I338,0)</f>
        <v>128.5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IFERROR(__xludf.DUMMYFUNCTION("IMPORTRANGE(""https://docs.google.com/spreadsheets/d/1QqKyyYR6Q21VydFLVH3TRQUabQu_ym0Zz7PgGX0-kHA/edit?usp=sharing"",""แผน!EH64"")"),3)</f>
        <v>3</v>
      </c>
      <c r="J340" s="269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IFERROR(__xludf.DUMMYFUNCTION("IMPORTRANGE(""https://docs.google.com/spreadsheets/d/1kVcqe37tkHyjCSG3S0O1AXqVkqjo8mSIZil3BcpIysc/edit?usp=sharing"",""ศูนย์!G64"")"),5)</f>
        <v>5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292110</v>
      </c>
      <c r="M345" s="154">
        <f ca="1">M346+M347</f>
        <v>354110</v>
      </c>
      <c r="N345" s="154">
        <f ca="1">N346+N347</f>
        <v>354110</v>
      </c>
      <c r="O345" s="154">
        <f t="shared" ref="O345:O353" ca="1" si="59">IF(L345&gt;0,N345*100/L345,0)</f>
        <v>121.22488103796515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292110</v>
      </c>
      <c r="M347" s="92">
        <f t="shared" ca="1" si="61"/>
        <v>354110</v>
      </c>
      <c r="N347" s="92">
        <f t="shared" ca="1" si="61"/>
        <v>354110</v>
      </c>
      <c r="O347" s="92">
        <f t="shared" ca="1" si="59"/>
        <v>121.22488103796515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216110</v>
      </c>
      <c r="M348" s="497">
        <f ca="1">M349+M350</f>
        <v>278110</v>
      </c>
      <c r="N348" s="497">
        <f ca="1">N349+N350</f>
        <v>278110</v>
      </c>
      <c r="O348" s="497">
        <f t="shared" ca="1" si="59"/>
        <v>128.68909351719032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IFERROR(__xludf.DUMMYFUNCTION("IMPORTRANGE(""https://docs.google.com/spreadsheets/d/1MeEWN-I1oV_STSDYn1IFDPWt_1FKiwhDph83XaGc0o0/edit?usp=sharing"",""งบพรบ!EW64"")"),216110)</f>
        <v>216110</v>
      </c>
      <c r="M350" s="92">
        <f ca="1">IFERROR(__xludf.DUMMYFUNCTION("IMPORTRANGE(""https://docs.google.com/spreadsheets/d/1MeEWN-I1oV_STSDYn1IFDPWt_1FKiwhDph83XaGc0o0/edit?usp=sharing"",""งบพรบ!FB64"")"),278110)</f>
        <v>278110</v>
      </c>
      <c r="N350" s="92">
        <f ca="1">IFERROR(__xludf.DUMMYFUNCTION("IMPORTRANGE(""https://docs.google.com/spreadsheets/d/1MeEWN-I1oV_STSDYn1IFDPWt_1FKiwhDph83XaGc0o0/edit?usp=sharing"",""งบพรบ!FD64"")"),278110)</f>
        <v>278110</v>
      </c>
      <c r="O350" s="92">
        <f t="shared" ca="1" si="59"/>
        <v>128.68909351719032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76000</v>
      </c>
      <c r="M351" s="497">
        <f ca="1">M352+M353</f>
        <v>76000</v>
      </c>
      <c r="N351" s="497">
        <f ca="1">N352+N353</f>
        <v>76000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IFERROR(__xludf.DUMMYFUNCTION("IMPORTRANGE(""https://docs.google.com/spreadsheets/d/1MeEWN-I1oV_STSDYn1IFDPWt_1FKiwhDph83XaGc0o0/edit?usp=sharing"",""งบพรบ!EZ64"")"),76000)</f>
        <v>76000</v>
      </c>
      <c r="M353" s="92">
        <f ca="1">IFERROR(__xludf.DUMMYFUNCTION("IMPORTRANGE(""https://docs.google.com/spreadsheets/d/1MeEWN-I1oV_STSDYn1IFDPWt_1FKiwhDph83XaGc0o0/edit?usp=sharing"",""งบพรบ!FC64"")"),76000)</f>
        <v>76000</v>
      </c>
      <c r="N353" s="92">
        <f ca="1">IFERROR(__xludf.DUMMYFUNCTION("IMPORTRANGE(""https://docs.google.com/spreadsheets/d/1MeEWN-I1oV_STSDYn1IFDPWt_1FKiwhDph83XaGc0o0/edit?usp=sharing"",""งบพรบ!FE64"")"),76000)</f>
        <v>76000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IFERROR(__xludf.DUMMYFUNCTION("IMPORTRANGE(""https://docs.google.com/spreadsheets/d/1QqKyyYR6Q21VydFLVH3TRQUabQu_ym0Zz7PgGX0-kHA/edit?usp=sharing"",""แผน!EO64"")"),0)</f>
        <v>0</v>
      </c>
      <c r="J359" s="269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IFERROR(__xludf.DUMMYFUNCTION("IMPORTRANGE(""https://docs.google.com/spreadsheets/d/1QqKyyYR6Q21VydFLVH3TRQUabQu_ym0Zz7PgGX0-kHA/edit?usp=sharing"",""แผน!EP64"")"),0)</f>
        <v>0</v>
      </c>
      <c r="J360" s="269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IFERROR(__xludf.DUMMYFUNCTION("IMPORTRANGE(""https://docs.google.com/spreadsheets/d/1QqKyyYR6Q21VydFLVH3TRQUabQu_ym0Zz7PgGX0-kHA/edit?usp=sharing"",""แผน!EP64"")"),0)</f>
        <v>0</v>
      </c>
      <c r="J362" s="269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IFERROR(__xludf.DUMMYFUNCTION("IMPORTRANGE(""https://docs.google.com/spreadsheets/d/1QqKyyYR6Q21VydFLVH3TRQUabQu_ym0Zz7PgGX0-kHA/edit?usp=sharing"",""แผน!EI64"")"),0)</f>
        <v>0</v>
      </c>
      <c r="J369" s="269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IFERROR(__xludf.DUMMYFUNCTION("IMPORTRANGE(""https://docs.google.com/spreadsheets/d/1QqKyyYR6Q21VydFLVH3TRQUabQu_ym0Zz7PgGX0-kHA/edit?usp=sharing"",""แผน!EJ64"")"),0)</f>
        <v>0</v>
      </c>
      <c r="J370" s="269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IFERROR(__xludf.DUMMYFUNCTION("IMPORTRANGE(""https://docs.google.com/spreadsheets/d/1QqKyyYR6Q21VydFLVH3TRQUabQu_ym0Zz7PgGX0-kHA/edit?usp=sharing"",""แผน!EJ64"")"),0)</f>
        <v>0</v>
      </c>
      <c r="J372" s="269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IFERROR(__xludf.DUMMYFUNCTION("IMPORTRANGE(""https://docs.google.com/spreadsheets/d/1QqKyyYR6Q21VydFLVH3TRQUabQu_ym0Zz7PgGX0-kHA/edit?usp=sharing"",""แผน!ET64"")"),0)</f>
        <v>0</v>
      </c>
      <c r="J378" s="269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IFERROR(__xludf.DUMMYFUNCTION("IMPORTRANGE(""https://docs.google.com/spreadsheets/d/1QqKyyYR6Q21VydFLVH3TRQUabQu_ym0Zz7PgGX0-kHA/edit?usp=sharing"",""แผน!EU64"")"),0)</f>
        <v>0</v>
      </c>
      <c r="J379" s="269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IFERROR(__xludf.DUMMYFUNCTION("IMPORTRANGE(""https://docs.google.com/spreadsheets/d/1QqKyyYR6Q21VydFLVH3TRQUabQu_ym0Zz7PgGX0-kHA/edit?usp=sharing"",""แผน!EU64"")"),0)</f>
        <v>0</v>
      </c>
      <c r="J381" s="269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IFERROR(__xludf.DUMMYFUNCTION("IMPORTRANGE(""https://docs.google.com/spreadsheets/d/1XWAQStnk-4SwqDmLtmXYiTMKHgktTP8We1SCoS47DrQ/edit?usp=sharing"",""จัดที่ดิน!AP64"")"),11)</f>
        <v>11</v>
      </c>
      <c r="K385" s="502">
        <f ca="1">IF(I385&gt;0,J385*100/I385,0)</f>
        <v>44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IFERROR(__xludf.DUMMYFUNCTION("IMPORTRANGE(""https://docs.google.com/spreadsheets/d/1MeEWN-I1oV_STSDYn1IFDPWt_1FKiwhDph83XaGc0o0/edit?usp=sharing"",""งบพรบ!FG64"")"),0)</f>
        <v>0</v>
      </c>
      <c r="M394" s="92">
        <f ca="1">IFERROR(__xludf.DUMMYFUNCTION("IMPORTRANGE(""https://docs.google.com/spreadsheets/d/1MeEWN-I1oV_STSDYn1IFDPWt_1FKiwhDph83XaGc0o0/edit?usp=sharing"",""งบพรบ!FL64"")"),0)</f>
        <v>0</v>
      </c>
      <c r="N394" s="92">
        <f ca="1">IFERROR(__xludf.DUMMYFUNCTION("IMPORTRANGE(""https://docs.google.com/spreadsheets/d/1MeEWN-I1oV_STSDYn1IFDPWt_1FKiwhDph83XaGc0o0/edit?usp=sharing"",""งบพรบ!FN64"")"),0)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IFERROR(__xludf.DUMMYFUNCTION("IMPORTRANGE(""https://docs.google.com/spreadsheets/d/1MeEWN-I1oV_STSDYn1IFDPWt_1FKiwhDph83XaGc0o0/edit?usp=sharing"",""งบพรบ!FJ64"")"),0)</f>
        <v>0</v>
      </c>
      <c r="M397" s="92">
        <f ca="1">IFERROR(__xludf.DUMMYFUNCTION("IMPORTRANGE(""https://docs.google.com/spreadsheets/d/1MeEWN-I1oV_STSDYn1IFDPWt_1FKiwhDph83XaGc0o0/edit?usp=sharing"",""งบพรบ!FM64"")"),0)</f>
        <v>0</v>
      </c>
      <c r="N397" s="92">
        <f ca="1">IFERROR(__xludf.DUMMYFUNCTION("IMPORTRANGE(""https://docs.google.com/spreadsheets/d/1MeEWN-I1oV_STSDYn1IFDPWt_1FKiwhDph83XaGc0o0/edit?usp=sharing"",""งบพรบ!FO64"")"),0)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IFERROR(__xludf.DUMMYFUNCTION("IMPORTRANGE(""https://docs.google.com/spreadsheets/d/1MeEWN-I1oV_STSDYn1IFDPWt_1FKiwhDph83XaGc0o0/edit?usp=sharing"",""งบพรบ!FQ64"")"),0)</f>
        <v>0</v>
      </c>
      <c r="M407" s="92">
        <f ca="1">IFERROR(__xludf.DUMMYFUNCTION("IMPORTRANGE(""https://docs.google.com/spreadsheets/d/1MeEWN-I1oV_STSDYn1IFDPWt_1FKiwhDph83XaGc0o0/edit?usp=sharing"",""งบพรบ!FV64"")"),0)</f>
        <v>0</v>
      </c>
      <c r="N407" s="92">
        <f ca="1">IFERROR(__xludf.DUMMYFUNCTION("IMPORTRANGE(""https://docs.google.com/spreadsheets/d/1MeEWN-I1oV_STSDYn1IFDPWt_1FKiwhDph83XaGc0o0/edit?usp=sharing"",""งบพรบ!FX64"")"),0)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IFERROR(__xludf.DUMMYFUNCTION("IMPORTRANGE(""https://docs.google.com/spreadsheets/d/1MeEWN-I1oV_STSDYn1IFDPWt_1FKiwhDph83XaGc0o0/edit?usp=sharing"",""งบพรบ!FT64"")"),0)</f>
        <v>0</v>
      </c>
      <c r="M410" s="92">
        <f ca="1">IFERROR(__xludf.DUMMYFUNCTION("IMPORTRANGE(""https://docs.google.com/spreadsheets/d/1MeEWN-I1oV_STSDYn1IFDPWt_1FKiwhDph83XaGc0o0/edit?usp=sharing"",""งบพรบ!FW64"")"),0)</f>
        <v>0</v>
      </c>
      <c r="N410" s="92">
        <f ca="1">IFERROR(__xludf.DUMMYFUNCTION("IMPORTRANGE(""https://docs.google.com/spreadsheets/d/1MeEWN-I1oV_STSDYn1IFDPWt_1FKiwhDph83XaGc0o0/edit?usp=sharing"",""งบพรบ!FY64"")"),0)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470100</v>
      </c>
      <c r="M414" s="549">
        <f ca="1">M419+M444+M467+M502+M523+M544+M629+M655+M685+M737+M754+M770+M786+M805</f>
        <v>476339.42</v>
      </c>
      <c r="N414" s="549">
        <f>N419+N444+N467+N502+N523+N544+N629+N655+N685+N737+N754+N770+N786+N805</f>
        <v>476339.42</v>
      </c>
      <c r="O414" s="549">
        <f ca="1">IF(L414&gt;0,N414*100/L414,0)</f>
        <v>101.32725377579239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60</v>
      </c>
      <c r="J417" s="565">
        <f ca="1">J433</f>
        <v>60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188600</v>
      </c>
      <c r="M419" s="154">
        <f ca="1">M420+M421</f>
        <v>210300</v>
      </c>
      <c r="N419" s="154">
        <f>N420+N421</f>
        <v>210300</v>
      </c>
      <c r="O419" s="154">
        <f t="shared" ref="O419:O424" ca="1" si="71">IF(L419&gt;0,N419*100/L419,0)</f>
        <v>111.50583244962884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188600</v>
      </c>
      <c r="M421" s="92">
        <f t="shared" ca="1" si="73"/>
        <v>210300</v>
      </c>
      <c r="N421" s="92">
        <f t="shared" si="73"/>
        <v>210300</v>
      </c>
      <c r="O421" s="92">
        <f t="shared" ca="1" si="71"/>
        <v>111.50583244962884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188600</v>
      </c>
      <c r="M422" s="497">
        <f ca="1">M423+M424</f>
        <v>210300</v>
      </c>
      <c r="N422" s="497">
        <f>N423+N424</f>
        <v>210300</v>
      </c>
      <c r="O422" s="497">
        <f t="shared" ca="1" si="71"/>
        <v>111.50583244962884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IFERROR(__xludf.DUMMYFUNCTION("IMPORTRANGE(""https://docs.google.com/spreadsheets/d/1QqKyyYR6Q21VydFLVH3TRQUabQu_ym0Zz7PgGX0-kHA/edit?usp=sharing"",""แผน!EY64"")"),188600)</f>
        <v>188600</v>
      </c>
      <c r="M424" s="92">
        <f ca="1">L424+5000+16700</f>
        <v>210300</v>
      </c>
      <c r="N424" s="92">
        <f>N425+N426+N427+N428</f>
        <v>210300</v>
      </c>
      <c r="O424" s="92">
        <f t="shared" ca="1" si="71"/>
        <v>111.50583244962884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180800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29500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IFERROR(__xludf.DUMMYFUNCTION("IMPORTRANGE(""https://docs.google.com/spreadsheets/d/1QqKyyYR6Q21VydFLVH3TRQUabQu_ym0Zz7PgGX0-kHA/edit?usp=sharing"",""แผน!FB64"")"),0)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IFERROR(__xludf.DUMMYFUNCTION("IMPORTRANGE(""https://docs.google.com/spreadsheets/d/1QqKyyYR6Q21VydFLVH3TRQUabQu_ym0Zz7PgGX0-kHA/edit?usp=sharing"",""แผน!FE64"")"),1)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IFERROR(__xludf.DUMMYFUNCTION("IMPORTRANGE(""https://docs.google.com/spreadsheets/d/1QqKyyYR6Q21VydFLVH3TRQUabQu_ym0Zz7PgGX0-kHA/edit?usp=sharing"",""แผน!FG64"")"),1)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IFERROR(__xludf.DUMMYFUNCTION("IMPORTRANGE(""https://docs.google.com/spreadsheets/d/1QqKyyYR6Q21VydFLVH3TRQUabQu_ym0Zz7PgGX0-kHA/edit?usp=sharing"",""แผน!FH64"")"),0)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IFERROR(__xludf.DUMMYFUNCTION("IMPORTRANGE(""https://docs.google.com/spreadsheets/d/1QqKyyYR6Q21VydFLVH3TRQUabQu_ym0Zz7PgGX0-kHA/edit?usp=sharing"",""แผน!FJ64"")"),0)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IFERROR(__xludf.DUMMYFUNCTION("IMPORTRANGE(""https://docs.google.com/spreadsheets/d/1QqKyyYR6Q21VydFLVH3TRQUabQu_ym0Zz7PgGX0-kHA/edit?usp=sharing"",""แผน!FM64"")"),0)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IFERROR(__xludf.DUMMYFUNCTION("IMPORTRANGE(""https://docs.google.com/spreadsheets/d/1QqKyyYR6Q21VydFLVH3TRQUabQu_ym0Zz7PgGX0-kHA/edit?usp=sharing"",""แผน!FN64"")"),0)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IFERROR(__xludf.DUMMYFUNCTION("IMPORTRANGE(""https://docs.google.com/spreadsheets/d/1QqKyyYR6Q21VydFLVH3TRQUabQu_ym0Zz7PgGX0-kHA/edit?usp=sharing"",""แผน!FO64"")"),0)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IFERROR(__xludf.DUMMYFUNCTION("IMPORTRANGE(""https://docs.google.com/spreadsheets/d/1QqKyyYR6Q21VydFLVH3TRQUabQu_ym0Zz7PgGX0-kHA/edit?usp=sharing"",""แผน!FO64"")"),0)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IFERROR(__xludf.DUMMYFUNCTION("IMPORTRANGE(""https://docs.google.com/spreadsheets/d/1QqKyyYR6Q21VydFLVH3TRQUabQu_ym0Zz7PgGX0-kHA/edit?usp=sharing"",""แผน!FN64"")"),0)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IFERROR(__xludf.DUMMYFUNCTION("IMPORTRANGE(""https://docs.google.com/spreadsheets/d/1QqKyyYR6Q21VydFLVH3TRQUabQu_ym0Zz7PgGX0-kHA/edit?usp=sharing"",""แผน!FS64"")"),0)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IFERROR(__xludf.DUMMYFUNCTION("IMPORTRANGE(""https://docs.google.com/spreadsheets/d/1QqKyyYR6Q21VydFLVH3TRQUabQu_ym0Zz7PgGX0-kHA/edit?usp=sharing"",""แผน!FV64"")"),0)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IFERROR(__xludf.DUMMYFUNCTION("IMPORTRANGE(""https://docs.google.com/spreadsheets/d/1QqKyyYR6Q21VydFLVH3TRQUabQu_ym0Zz7PgGX0-kHA/edit?usp=sharing"",""แผน!FY64"")"),0)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IFERROR(__xludf.DUMMYFUNCTION("IMPORTRANGE(""https://docs.google.com/spreadsheets/d/1QqKyyYR6Q21VydFLVH3TRQUabQu_ym0Zz7PgGX0-kHA/edit?usp=sharing"",""แผน!FZ64"")"),0)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IFERROR(__xludf.DUMMYFUNCTION("IMPORTRANGE(""https://docs.google.com/spreadsheets/d/1QqKyyYR6Q21VydFLVH3TRQUabQu_ym0Zz7PgGX0-kHA/edit?usp=sharing"",""แผน!GA64"")"),0)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IFERROR(__xludf.DUMMYFUNCTION("IMPORTRANGE(""https://docs.google.com/spreadsheets/d/1QqKyyYR6Q21VydFLVH3TRQUabQu_ym0Zz7PgGX0-kHA/edit?usp=sharing"",""แผน!GB64"")"),0)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IFERROR(__xludf.DUMMYFUNCTION("IMPORTRANGE(""https://docs.google.com/spreadsheets/d/1QqKyyYR6Q21VydFLVH3TRQUabQu_ym0Zz7PgGX0-kHA/edit?usp=sharing"",""แผน!GC64"")"),0)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IFERROR(__xludf.DUMMYFUNCTION("IMPORTRANGE(""https://docs.google.com/spreadsheets/d/1QqKyyYR6Q21VydFLVH3TRQUabQu_ym0Zz7PgGX0-kHA/edit?usp=sharing"",""แผน!FY64"")"),0)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IFERROR(__xludf.DUMMYFUNCTION("IMPORTRANGE(""https://docs.google.com/spreadsheets/d/1QqKyyYR6Q21VydFLVH3TRQUabQu_ym0Zz7PgGX0-kHA/edit?usp=sharing"",""แผน!GA64"")"),0)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IFERROR(__xludf.DUMMYFUNCTION("IMPORTRANGE(""https://docs.google.com/spreadsheets/d/1QqKyyYR6Q21VydFLVH3TRQUabQu_ym0Zz7PgGX0-kHA/edit?usp=sharing"",""แผน!GQ64"")"),0)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IFERROR(__xludf.DUMMYFUNCTION("IMPORTRANGE(""https://docs.google.com/spreadsheets/d/1QqKyyYR6Q21VydFLVH3TRQUabQu_ym0Zz7PgGX0-kHA/edit?usp=sharing"",""แผน!GT64"")"),0)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IFERROR(__xludf.DUMMYFUNCTION("IMPORTRANGE(""https://docs.google.com/spreadsheets/d/1QqKyyYR6Q21VydFLVH3TRQUabQu_ym0Zz7PgGX0-kHA/edit?usp=sharing"",""แผน!GV64"")"),0)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IFERROR(__xludf.DUMMYFUNCTION("IMPORTRANGE(""https://docs.google.com/spreadsheets/d/1QqKyyYR6Q21VydFLVH3TRQUabQu_ym0Zz7PgGX0-kHA/edit?usp=sharing"",""แผน!GW64"")"),0)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IFERROR(__xludf.DUMMYFUNCTION("IMPORTRANGE(""https://docs.google.com/spreadsheets/d/1QqKyyYR6Q21VydFLVH3TRQUabQu_ym0Zz7PgGX0-kHA/edit?usp=sharing"",""แผน!GX64"")"),0)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IFERROR(__xludf.DUMMYFUNCTION("IMPORTRANGE(""https://docs.google.com/spreadsheets/d/1QqKyyYR6Q21VydFLVH3TRQUabQu_ym0Zz7PgGX0-kHA/edit?usp=sharing"",""แผน!GY64"")"),0)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IFERROR(__xludf.DUMMYFUNCTION("IMPORTRANGE(""https://docs.google.com/spreadsheets/d/1QqKyyYR6Q21VydFLVH3TRQUabQu_ym0Zz7PgGX0-kHA/edit?usp=sharing"",""แผน!GZ64"")"),0)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219200</v>
      </c>
      <c r="M544" s="154">
        <f ca="1">M545+M546</f>
        <v>212571.22</v>
      </c>
      <c r="N544" s="154">
        <f>N545+N546</f>
        <v>212571.22</v>
      </c>
      <c r="O544" s="154">
        <f t="shared" ref="O544:O549" ca="1" si="88">IF(L544&gt;0,N544*100/L544,0)</f>
        <v>96.975921532846712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219200</v>
      </c>
      <c r="M546" s="92">
        <f ca="1">M549+M556</f>
        <v>212571.22</v>
      </c>
      <c r="N546" s="92">
        <f>N549+N556</f>
        <v>212571.22</v>
      </c>
      <c r="O546" s="92">
        <f t="shared" ca="1" si="88"/>
        <v>96.975921532846712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219200</v>
      </c>
      <c r="M547" s="497">
        <f ca="1">M548+M549</f>
        <v>212571.22</v>
      </c>
      <c r="N547" s="497">
        <f>N548+N549</f>
        <v>212571.22</v>
      </c>
      <c r="O547" s="497">
        <f t="shared" ca="1" si="88"/>
        <v>96.975921532846712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IFERROR(__xludf.DUMMYFUNCTION("IMPORTRANGE(""https://docs.google.com/spreadsheets/d/1QqKyyYR6Q21VydFLVH3TRQUabQu_ym0Zz7PgGX0-kHA/edit?usp=sharing"",""แผน!HB64"")"),219200)</f>
        <v>219200</v>
      </c>
      <c r="M549" s="92">
        <f ca="1">L549-6628.78</f>
        <v>212571.22</v>
      </c>
      <c r="N549" s="92">
        <f>N550+N551+N552+N553+N554</f>
        <v>212571.22</v>
      </c>
      <c r="O549" s="92">
        <f t="shared" ca="1" si="88"/>
        <v>96.975921532846712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138233.32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74337.899999999994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IFERROR(__xludf.DUMMYFUNCTION("IMPORTRANGE(""https://docs.google.com/spreadsheets/d/1QqKyyYR6Q21VydFLVH3TRQUabQu_ym0Zz7PgGX0-kHA/edit?usp=sharing"",""แผน!HF64"")"),0)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IFERROR(__xludf.DUMMYFUNCTION("IMPORTRANGE(""https://docs.google.com/spreadsheets/d/1QqKyyYR6Q21VydFLVH3TRQUabQu_ym0Zz7PgGX0-kHA/edit?usp=sharing"",""แผน!HH64"")"),0)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IFERROR(__xludf.DUMMYFUNCTION("IMPORTRANGE(""https://docs.google.com/spreadsheets/d/1QqKyyYR6Q21VydFLVH3TRQUabQu_ym0Zz7PgGX0-kHA/edit?usp=sharing"",""แผน!HG64"")"),0)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IFERROR(__xludf.DUMMYFUNCTION("IMPORTRANGE(""https://docs.google.com/spreadsheets/d/1QqKyyYR6Q21VydFLVH3TRQUabQu_ym0Zz7PgGX0-kHA/edit?usp=sharing"",""แผน!HH64"")"),0)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IFERROR(__xludf.DUMMYFUNCTION("IMPORTRANGE(""https://docs.google.com/spreadsheets/d/1QqKyyYR6Q21VydFLVH3TRQUabQu_ym0Zz7PgGX0-kHA/edit?usp=sharing"",""แผน!HG64"")"),0)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IFERROR(__xludf.DUMMYFUNCTION("IMPORTRANGE(""https://docs.google.com/spreadsheets/d/1QqKyyYR6Q21VydFLVH3TRQUabQu_ym0Zz7PgGX0-kHA/edit?usp=sharing"",""แผน!HH64"")"),0)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IFERROR(__xludf.DUMMYFUNCTION("IMPORTRANGE(""https://docs.google.com/spreadsheets/d/1QqKyyYR6Q21VydFLVH3TRQUabQu_ym0Zz7PgGX0-kHA/edit?usp=sharing"",""แผน!HG64"")"),0)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92.724999999999994</v>
      </c>
      <c r="J592" s="703">
        <f>J593</f>
        <v>92.722499999999997</v>
      </c>
      <c r="K592" s="672">
        <f ca="1">IF(I592&gt;0,J592*100/I592,0)</f>
        <v>99.997303855486663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IFERROR(__xludf.DUMMYFUNCTION("IMPORTRANGE(""https://docs.google.com/spreadsheets/d/1QqKyyYR6Q21VydFLVH3TRQUabQu_ym0Zz7PgGX0-kHA/edit?usp=sharing"",""แผน!HJ64"")"),92.725)</f>
        <v>92.724999999999994</v>
      </c>
      <c r="J593" s="192">
        <f>J595+J603+J609</f>
        <v>92.722499999999997</v>
      </c>
      <c r="K593" s="410">
        <f ca="1">IF(I593&gt;0,J593*100/I593,0)</f>
        <v>99.997303855486663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IFERROR(__xludf.DUMMYFUNCTION("IMPORTRANGE(""https://docs.google.com/spreadsheets/d/1QqKyyYR6Q21VydFLVH3TRQUabQu_ym0Zz7PgGX0-kHA/edit?usp=sharing"",""แผน!HI64"")"),24)</f>
        <v>24</v>
      </c>
      <c r="J594" s="192">
        <f>J596+J604+J610</f>
        <v>24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33.672499999999999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12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22.102499999999999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6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11.57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6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58.96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58.96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882">
        <v>0.09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1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IFERROR(__xludf.DUMMYFUNCTION("IMPORTRANGE(""https://docs.google.com/spreadsheets/d/1QqKyyYR6Q21VydFLVH3TRQUabQu_ym0Zz7PgGX0-kHA/edit?usp=sharing"",""แผน!HN64"")"),0)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IFERROR(__xludf.DUMMYFUNCTION("IMPORTRANGE(""https://docs.google.com/spreadsheets/d/1QqKyyYR6Q21VydFLVH3TRQUabQu_ym0Zz7PgGX0-kHA/edit?usp=sharing"",""แผน!HQ64"")"),0)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IFERROR(__xludf.DUMMYFUNCTION("IMPORTRANGE(""https://docs.google.com/spreadsheets/d/1QqKyyYR6Q21VydFLVH3TRQUabQu_ym0Zz7PgGX0-kHA/edit?usp=sharing"",""แผน!HR64"")"),0)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IFERROR(__xludf.DUMMYFUNCTION("IMPORTRANGE(""https://docs.google.com/spreadsheets/d/1QqKyyYR6Q21VydFLVH3TRQUabQu_ym0Zz7PgGX0-kHA/edit?usp=sharing"",""แผน!HR64"")"),0)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IFERROR(__xludf.DUMMYFUNCTION("IMPORTRANGE(""https://docs.google.com/spreadsheets/d/1XWAQStnk-4SwqDmLtmXYiTMKHgktTP8We1SCoS47DrQ/edit?usp=sharing"",""จัดที่ดิน!AS64"")"),0)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IFERROR(__xludf.DUMMYFUNCTION("IMPORTRANGE(""https://docs.google.com/spreadsheets/d/1QqKyyYR6Q21VydFLVH3TRQUabQu_ym0Zz7PgGX0-kHA/edit?usp=sharing"",""แผน!HS64"")"),0)</f>
        <v>0</v>
      </c>
      <c r="J647" s="269">
        <f ca="1">IFERROR(__xludf.DUMMYFUNCTION("IMPORTRANGE(""https://docs.google.com/spreadsheets/d/1XWAQStnk-4SwqDmLtmXYiTMKHgktTP8We1SCoS47DrQ/edit?usp=sharing"",""จัดที่ดิน!AU64"")"),0)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IFERROR(__xludf.DUMMYFUNCTION("IMPORTRANGE(""https://docs.google.com/spreadsheets/d/1QqKyyYR6Q21VydFLVH3TRQUabQu_ym0Zz7PgGX0-kHA/edit?usp=sharing"",""แผน!HS64"")"),0)</f>
        <v>0</v>
      </c>
      <c r="J649" s="269">
        <f ca="1">IFERROR(__xludf.DUMMYFUNCTION("IMPORTRANGE(""https://docs.google.com/spreadsheets/d/1XWAQStnk-4SwqDmLtmXYiTMKHgktTP8We1SCoS47DrQ/edit?usp=sharing"",""จัดที่ดิน!AW64"")"),0)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IFERROR(__xludf.DUMMYFUNCTION("IMPORTRANGE(""https://docs.google.com/spreadsheets/d/1QqKyyYR6Q21VydFLVH3TRQUabQu_ym0Zz7PgGX0-kHA/edit?usp=sharing"",""แผน!HS64"")"),0)</f>
        <v>0</v>
      </c>
      <c r="J651" s="269">
        <f ca="1">IFERROR(__xludf.DUMMYFUNCTION("IMPORTRANGE(""https://docs.google.com/spreadsheets/d/1XWAQStnk-4SwqDmLtmXYiTMKHgktTP8We1SCoS47DrQ/edit?usp=sharing"",""จัดที่ดิน!AY64"")"),0)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185</v>
      </c>
      <c r="J654" s="703">
        <f>J669</f>
        <v>127</v>
      </c>
      <c r="K654" s="672">
        <f ca="1">IF(I654&gt;0,J654*100/I654,0)</f>
        <v>68.648648648648646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20700</v>
      </c>
      <c r="M655" s="194">
        <f ca="1">M656+M657</f>
        <v>11868.2</v>
      </c>
      <c r="N655" s="194">
        <f>N656+N657</f>
        <v>11868.2</v>
      </c>
      <c r="O655" s="194">
        <f t="shared" ref="O655:O660" ca="1" si="94">IF(L655&gt;0,N655*100/L655,0)</f>
        <v>57.33429951690821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20700</v>
      </c>
      <c r="M657" s="92">
        <f t="shared" ca="1" si="96"/>
        <v>11868.2</v>
      </c>
      <c r="N657" s="92">
        <f t="shared" si="96"/>
        <v>11868.2</v>
      </c>
      <c r="O657" s="92">
        <f t="shared" ca="1" si="94"/>
        <v>57.33429951690821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20700</v>
      </c>
      <c r="M658" s="497">
        <f ca="1">M659+M660</f>
        <v>11868.2</v>
      </c>
      <c r="N658" s="497">
        <f>N659+N660</f>
        <v>11868.2</v>
      </c>
      <c r="O658" s="497">
        <f t="shared" ca="1" si="94"/>
        <v>57.33429951690821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IFERROR(__xludf.DUMMYFUNCTION("IMPORTRANGE(""https://docs.google.com/spreadsheets/d/1QqKyyYR6Q21VydFLVH3TRQUabQu_ym0Zz7PgGX0-kHA/edit?usp=sharing"",""แผน!HV64"")"),20700)</f>
        <v>20700</v>
      </c>
      <c r="M660" s="92">
        <f ca="1">L660+20340-29171.8</f>
        <v>11868.2</v>
      </c>
      <c r="N660" s="92">
        <f>N661+N662+N663+N664</f>
        <v>11868.2</v>
      </c>
      <c r="O660" s="92">
        <f t="shared" ca="1" si="94"/>
        <v>57.33429951690821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11868.2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127</v>
      </c>
      <c r="K669" s="194">
        <f ca="1">IF(I669&gt;0,J669*100/I669,0)</f>
        <v>68.648648648648646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IFERROR(__xludf.DUMMYFUNCTION("IMPORTRANGE(""https://docs.google.com/spreadsheets/d/1QqKyyYR6Q21VydFLVH3TRQUabQu_ym0Zz7PgGX0-kHA/edit?usp=sharing"",""แผน!HZ64"")"),6)</f>
        <v>6</v>
      </c>
      <c r="J670" s="214">
        <v>6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IFERROR(__xludf.DUMMYFUNCTION("IMPORTRANGE(""https://docs.google.com/spreadsheets/d/1QqKyyYR6Q21VydFLVH3TRQUabQu_ym0Zz7PgGX0-kHA/edit?usp=sharing"",""แผน!HZ64"")"),6)</f>
        <v>6</v>
      </c>
      <c r="J671" s="214">
        <v>6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292</v>
      </c>
      <c r="K672" s="497">
        <f ca="1">IF(I$669&gt;0,J672*100/I$669,0)</f>
        <v>157.83783783783784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292</v>
      </c>
      <c r="K673" s="497">
        <f ca="1">IF(I$669&gt;0,J673*100/I$669,0)</f>
        <v>157.83783783783784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127</v>
      </c>
      <c r="K674" s="497">
        <f ca="1">IF(I$669&gt;0,J674*100/I$669,0)</f>
        <v>68.648648648648646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127</v>
      </c>
      <c r="K675" s="194">
        <f ca="1">IF(I$669&gt;0,J675*100/I$669,0)</f>
        <v>68.648648648648646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127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136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136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136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41600</v>
      </c>
      <c r="M685" s="194">
        <f ca="1">M686+M687</f>
        <v>41600</v>
      </c>
      <c r="N685" s="194">
        <f>N686+N687</f>
        <v>41600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41600</v>
      </c>
      <c r="M687" s="92">
        <f t="shared" ca="1" si="97"/>
        <v>41600</v>
      </c>
      <c r="N687" s="92">
        <f t="shared" si="97"/>
        <v>41600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41600</v>
      </c>
      <c r="M688" s="497">
        <f ca="1">M689+M690</f>
        <v>41600</v>
      </c>
      <c r="N688" s="497">
        <f>N689+N690</f>
        <v>41600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IFERROR(__xludf.DUMMYFUNCTION("IMPORTRANGE(""https://docs.google.com/spreadsheets/d/1QqKyyYR6Q21VydFLVH3TRQUabQu_ym0Zz7PgGX0-kHA/edit?usp=sharing"",""แผน!HW64"")"),41600)</f>
        <v>41600</v>
      </c>
      <c r="M690" s="92">
        <f ca="1">L690</f>
        <v>41600</v>
      </c>
      <c r="N690" s="92">
        <f>N691+N692+N693+N694</f>
        <v>41600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41600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69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69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30</v>
      </c>
      <c r="K708" s="194">
        <f ca="1">IF(I708&gt;0,J708*100/I708,0)</f>
        <v>120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4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4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30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IFERROR(__xludf.DUMMYFUNCTION("IMPORTRANGE(""https://docs.google.com/spreadsheets/d/1XWAQStnk-4SwqDmLtmXYiTMKHgktTP8We1SCoS47DrQ/edit?usp=sharing"",""จัดที่ดิน!BF64"")"),17)</f>
        <v>17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IFERROR(__xludf.DUMMYFUNCTION("IMPORTRANGE(""https://docs.google.com/spreadsheets/d/1XWAQStnk-4SwqDmLtmXYiTMKHgktTP8We1SCoS47DrQ/edit?usp=sharing"",""จัดที่ดิน!BG64"")"),19)</f>
        <v>19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69">
        <f ca="1">IFERROR(__xludf.DUMMYFUNCTION("IMPORTRANGE(""https://docs.google.com/spreadsheets/d/1XWAQStnk-4SwqDmLtmXYiTMKHgktTP8We1SCoS47DrQ/edit?usp=sharing"",""จัดที่ดิน!BH64"")"),166.54)</f>
        <v>166.54</v>
      </c>
      <c r="K720" s="497">
        <f ca="1">IF(I720&gt;0,J720*100/I720,0)</f>
        <v>41.634999999999998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35</v>
      </c>
      <c r="K721" s="194">
        <f ca="1">IF(I721&gt;0,J721*100/I721,0)</f>
        <v>100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410.82900000000001</v>
      </c>
      <c r="K722" s="194">
        <f ca="1">IF(I722&gt;0,J722*100/I722,0)</f>
        <v>106.43238341968912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69">
        <f ca="1">IFERROR(__xludf.DUMMYFUNCTION("IMPORTRANGE(""https://docs.google.com/spreadsheets/d/1XWAQStnk-4SwqDmLtmXYiTMKHgktTP8We1SCoS47DrQ/edit?usp=sharing"",""จัดที่ดิน!BM64"")"),35)</f>
        <v>35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IFERROR(__xludf.DUMMYFUNCTION("IMPORTRANGE(""https://docs.google.com/spreadsheets/d/1XWAQStnk-4SwqDmLtmXYiTMKHgktTP8We1SCoS47DrQ/edit?usp=sharing"",""จัดที่ดิน!BN64"")"),39)</f>
        <v>39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69">
        <f ca="1">IFERROR(__xludf.DUMMYFUNCTION("IMPORTRANGE(""https://docs.google.com/spreadsheets/d/1XWAQStnk-4SwqDmLtmXYiTMKHgktTP8We1SCoS47DrQ/edit?usp=sharing"",""จัดที่ดิน!BO64"")"),410.829)</f>
        <v>410.82900000000001</v>
      </c>
      <c r="K725" s="497">
        <f ca="1">IF(I725&gt;0,J725*100/I725,0)</f>
        <v>106.43238341968912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69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69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283</v>
      </c>
      <c r="K729" s="194">
        <f ca="1">IF(I729&gt;0,J729*100/I729,0)</f>
        <v>152.97297297297297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10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27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27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273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IFERROR(__xludf.DUMMYFUNCTION("IMPORTRANGE(""https://docs.google.com/spreadsheets/d/1QqKyyYR6Q21VydFLVH3TRQUabQu_ym0Zz7PgGX0-kHA/edit?usp=sharing"",""แผน!JJ64"")"),0)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IFERROR(__xludf.DUMMYFUNCTION("IMPORTRANGE(""https://docs.google.com/spreadsheets/d/1QqKyyYR6Q21VydFLVH3TRQUabQu_ym0Zz7PgGX0-kHA/edit?usp=sharing"",""แผน!JN64"")"),0)</f>
        <v>0</v>
      </c>
      <c r="J800" s="183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69">
        <f ca="1">IFERROR(__xludf.DUMMYFUNCTION("IMPORTRANGE(""https://docs.google.com/spreadsheets/d/19vJNZY_5yjcGF2XGBMNZRCAIB0Kwfpjp8YEOfu-bneM/edit?usp=sharing"",""งานกองทุน!F64"")"),2199876.31)</f>
        <v>2199876.31</v>
      </c>
      <c r="K821" s="497">
        <f t="shared" ref="K821:K828" ca="1" si="113">IF(I821&gt;0,J821*100/I821,0)</f>
        <v>106.82432703445502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IFERROR(__xludf.DUMMYFUNCTION("IMPORTRANGE(""https://docs.google.com/spreadsheets/d/19vJNZY_5yjcGF2XGBMNZRCAIB0Kwfpjp8YEOfu-bneM/edit?usp=sharing"",""งานกองทุน!C64"")"),110)</f>
        <v>110</v>
      </c>
      <c r="J822" s="269">
        <f ca="1">IFERROR(__xludf.DUMMYFUNCTION("IMPORTRANGE(""https://docs.google.com/spreadsheets/d/19vJNZY_5yjcGF2XGBMNZRCAIB0Kwfpjp8YEOfu-bneM/edit?usp=sharing"",""งานกองทุน!E64"")"),111)</f>
        <v>111</v>
      </c>
      <c r="K822" s="497">
        <f t="shared" ca="1" si="113"/>
        <v>100.90909090909091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69">
        <f ca="1">IFERROR(__xludf.DUMMYFUNCTION("IMPORTRANGE(""https://docs.google.com/spreadsheets/d/19vJNZY_5yjcGF2XGBMNZRCAIB0Kwfpjp8YEOfu-bneM/edit?usp=sharing"",""งานกองทุน!K64"")"),2405000.89)</f>
        <v>2405000.89</v>
      </c>
      <c r="K823" s="497">
        <f t="shared" ca="1" si="113"/>
        <v>39.584848581385302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IFERROR(__xludf.DUMMYFUNCTION("IMPORTRANGE(""https://docs.google.com/spreadsheets/d/19vJNZY_5yjcGF2XGBMNZRCAIB0Kwfpjp8YEOfu-bneM/edit?usp=sharing"",""งานกองทุน!H64"")"),205)</f>
        <v>205</v>
      </c>
      <c r="J824" s="269">
        <f ca="1">IFERROR(__xludf.DUMMYFUNCTION("IMPORTRANGE(""https://docs.google.com/spreadsheets/d/19vJNZY_5yjcGF2XGBMNZRCAIB0Kwfpjp8YEOfu-bneM/edit?usp=sharing"",""งานกองทุน!J64"")"),125)</f>
        <v>125</v>
      </c>
      <c r="K824" s="497">
        <f t="shared" ca="1" si="113"/>
        <v>60.975609756097562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69">
        <f ca="1">IFERROR(__xludf.DUMMYFUNCTION("IMPORTRANGE(""https://docs.google.com/spreadsheets/d/19vJNZY_5yjcGF2XGBMNZRCAIB0Kwfpjp8YEOfu-bneM/edit?usp=sharing"",""งานกองทุน!P64"")"),611875.92)</f>
        <v>611875.92000000004</v>
      </c>
      <c r="K825" s="497">
        <f t="shared" ca="1" si="113"/>
        <v>42.273902307226152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IFERROR(__xludf.DUMMYFUNCTION("IMPORTRANGE(""https://docs.google.com/spreadsheets/d/19vJNZY_5yjcGF2XGBMNZRCAIB0Kwfpjp8YEOfu-bneM/edit?usp=sharing"",""งานกองทุน!M64"")"),1449)</f>
        <v>1449</v>
      </c>
      <c r="J826" s="269">
        <f ca="1">IFERROR(__xludf.DUMMYFUNCTION("IMPORTRANGE(""https://docs.google.com/spreadsheets/d/19vJNZY_5yjcGF2XGBMNZRCAIB0Kwfpjp8YEOfu-bneM/edit?usp=sharing"",""งานกองทุน!O64"")"),1279)</f>
        <v>1279</v>
      </c>
      <c r="K826" s="497">
        <f t="shared" ca="1" si="113"/>
        <v>88.267770876466528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IFERROR(__xludf.DUMMYFUNCTION("IMPORTRANGE(""https://docs.google.com/spreadsheets/d/19vJNZY_5yjcGF2XGBMNZRCAIB0Kwfpjp8YEOfu-bneM/edit?usp=sharing"",""งานกองทุน!S64"")"),8180000)</f>
        <v>8180000</v>
      </c>
      <c r="J827" s="269">
        <f ca="1">IFERROR(__xludf.DUMMYFUNCTION("IMPORTRANGE(""https://docs.google.com/spreadsheets/d/19vJNZY_5yjcGF2XGBMNZRCAIB0Kwfpjp8YEOfu-bneM/edit?usp=sharing"",""งานกองทุน!U64"")"),7460000)</f>
        <v>7460000</v>
      </c>
      <c r="K827" s="497">
        <f t="shared" ca="1" si="113"/>
        <v>91.198044009779949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IFERROR(__xludf.DUMMYFUNCTION("IMPORTRANGE(""https://docs.google.com/spreadsheets/d/19vJNZY_5yjcGF2XGBMNZRCAIB0Kwfpjp8YEOfu-bneM/edit?usp=sharing"",""งานกองทุน!T64"")"),164)</f>
        <v>164</v>
      </c>
      <c r="K828" s="502">
        <f t="shared" ca="1" si="113"/>
        <v>50.152905198776757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CCE0D-03D1-458D-9CD4-DED88467682B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14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354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2689293</v>
      </c>
      <c r="M8" s="21">
        <f ca="1">M9+M10</f>
        <v>2859515</v>
      </c>
      <c r="N8" s="21">
        <f ca="1">N9+N10</f>
        <v>2857306.02</v>
      </c>
      <c r="O8" s="21">
        <f t="shared" ref="O8:O16" ca="1" si="0">IF(L8&gt;0,N8*100/L8,0)</f>
        <v>106.24747917017595</v>
      </c>
      <c r="P8" s="21">
        <f t="shared" ref="P8:P16" ca="1" si="1">IF(M8&gt;0,N8*100/M8,0)</f>
        <v>99.922749836947872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2689293</v>
      </c>
      <c r="M10" s="29">
        <f t="shared" ca="1" si="2"/>
        <v>2859515</v>
      </c>
      <c r="N10" s="29">
        <f t="shared" ca="1" si="2"/>
        <v>2857306.02</v>
      </c>
      <c r="O10" s="29">
        <f t="shared" ca="1" si="0"/>
        <v>106.24747917017595</v>
      </c>
      <c r="P10" s="29">
        <f t="shared" ca="1" si="1"/>
        <v>99.922749836947872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2615393</v>
      </c>
      <c r="M11" s="497">
        <f ca="1">M12+M13</f>
        <v>2785615</v>
      </c>
      <c r="N11" s="497">
        <f ca="1">N12+N13</f>
        <v>2783406.02</v>
      </c>
      <c r="O11" s="497">
        <f t="shared" ca="1" si="0"/>
        <v>106.4240066406846</v>
      </c>
      <c r="P11" s="497">
        <f t="shared" ca="1" si="1"/>
        <v>99.920700455734192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2615393</v>
      </c>
      <c r="M13" s="92">
        <f t="shared" ca="1" si="3"/>
        <v>2785615</v>
      </c>
      <c r="N13" s="92">
        <f t="shared" ca="1" si="3"/>
        <v>2783406.02</v>
      </c>
      <c r="O13" s="92">
        <f t="shared" ca="1" si="0"/>
        <v>106.4240066406846</v>
      </c>
      <c r="P13" s="92">
        <f t="shared" ca="1" si="1"/>
        <v>99.920700455734192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73900</v>
      </c>
      <c r="M14" s="497">
        <f ca="1">M15+M16</f>
        <v>73900</v>
      </c>
      <c r="N14" s="497">
        <f ca="1">N15+N16</f>
        <v>73900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73900</v>
      </c>
      <c r="M16" s="51">
        <f t="shared" ca="1" si="4"/>
        <v>73900</v>
      </c>
      <c r="N16" s="51">
        <f t="shared" ca="1" si="4"/>
        <v>73900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2195810</v>
      </c>
      <c r="M18" s="21">
        <f ca="1">M19+M20</f>
        <v>2411470</v>
      </c>
      <c r="N18" s="21">
        <f ca="1">N19+N20</f>
        <v>2409261.02</v>
      </c>
      <c r="O18" s="21">
        <f t="shared" ref="O18:O26" ca="1" si="5">IF(L18&gt;0,N18*100/L18,0)</f>
        <v>109.72083285894499</v>
      </c>
      <c r="P18" s="21">
        <f t="shared" ref="P18:P26" ca="1" si="6">IF(M18&gt;0,N18*100/M18,0)</f>
        <v>99.908396952895956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2195810</v>
      </c>
      <c r="M20" s="29">
        <f t="shared" ca="1" si="7"/>
        <v>2411470</v>
      </c>
      <c r="N20" s="29">
        <f t="shared" ca="1" si="7"/>
        <v>2409261.02</v>
      </c>
      <c r="O20" s="29">
        <f t="shared" ca="1" si="5"/>
        <v>109.72083285894499</v>
      </c>
      <c r="P20" s="29">
        <f t="shared" ca="1" si="6"/>
        <v>99.908396952895956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2121910</v>
      </c>
      <c r="M21" s="497">
        <f ca="1">M22+M23</f>
        <v>2337570</v>
      </c>
      <c r="N21" s="497">
        <f ca="1">N22+N23</f>
        <v>2335361.02</v>
      </c>
      <c r="O21" s="497">
        <f t="shared" ca="1" si="5"/>
        <v>110.05938140637444</v>
      </c>
      <c r="P21" s="497">
        <f t="shared" ca="1" si="6"/>
        <v>99.905501011734401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2121910</v>
      </c>
      <c r="M23" s="92">
        <f t="shared" ca="1" si="8"/>
        <v>2337570</v>
      </c>
      <c r="N23" s="92">
        <f t="shared" ca="1" si="8"/>
        <v>2335361.02</v>
      </c>
      <c r="O23" s="92">
        <f t="shared" ca="1" si="5"/>
        <v>110.05938140637444</v>
      </c>
      <c r="P23" s="92">
        <f t="shared" ca="1" si="6"/>
        <v>99.905501011734401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73900</v>
      </c>
      <c r="M24" s="497">
        <f ca="1">M25+M26</f>
        <v>73900</v>
      </c>
      <c r="N24" s="497">
        <f ca="1">N25+N26</f>
        <v>73900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73900</v>
      </c>
      <c r="M26" s="51">
        <f t="shared" ca="1" si="9"/>
        <v>73900</v>
      </c>
      <c r="N26" s="51">
        <f t="shared" ca="1" si="9"/>
        <v>73900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493483</v>
      </c>
      <c r="M28" s="21">
        <f ca="1">M29+M30</f>
        <v>448045</v>
      </c>
      <c r="N28" s="21">
        <f>N29+N30</f>
        <v>448045</v>
      </c>
      <c r="O28" s="21">
        <f t="shared" ref="O28:O37" ca="1" si="10">IF(L28&gt;0,N28*100/L28,0)</f>
        <v>90.792387984996438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493483</v>
      </c>
      <c r="M30" s="29">
        <f t="shared" ca="1" si="12"/>
        <v>448045</v>
      </c>
      <c r="N30" s="29">
        <f t="shared" si="12"/>
        <v>448045</v>
      </c>
      <c r="O30" s="29">
        <f t="shared" ca="1" si="10"/>
        <v>90.792387984996438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493483</v>
      </c>
      <c r="M31" s="497">
        <f ca="1">M32+M33</f>
        <v>448045</v>
      </c>
      <c r="N31" s="497">
        <f>N32+N33</f>
        <v>448045</v>
      </c>
      <c r="O31" s="497">
        <f t="shared" ca="1" si="10"/>
        <v>90.792387984996438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493483</v>
      </c>
      <c r="M33" s="92">
        <f t="shared" ca="1" si="13"/>
        <v>448045</v>
      </c>
      <c r="N33" s="92">
        <f t="shared" si="13"/>
        <v>448045</v>
      </c>
      <c r="O33" s="92">
        <f t="shared" ca="1" si="10"/>
        <v>90.792387984996438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2195810</v>
      </c>
      <c r="M37" s="58">
        <f ca="1">M41+M53+M66+M88+M119+M132+M149+M165+M181+M261+M277+M298+M315+M328+M345+M389+M402</f>
        <v>2411470</v>
      </c>
      <c r="N37" s="58">
        <f ca="1">N41+N53+N66+N88+N119+N132+N149+N165+N181+N261+N277+N298+N315+N328+N345+N389+N402</f>
        <v>2409261.02</v>
      </c>
      <c r="O37" s="58">
        <f t="shared" ca="1" si="10"/>
        <v>109.72083285894499</v>
      </c>
      <c r="P37" s="58">
        <f t="shared" ca="1" si="11"/>
        <v>99.908396952895956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355100</v>
      </c>
      <c r="M41" s="84">
        <f ca="1">M42+M43</f>
        <v>367720</v>
      </c>
      <c r="N41" s="84">
        <f ca="1">N42+N43</f>
        <v>367720</v>
      </c>
      <c r="O41" s="84">
        <f t="shared" ref="O41:O49" ca="1" si="15">IF(L41&gt;0,N41*100/L41,0)</f>
        <v>103.55392847085328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355100</v>
      </c>
      <c r="M43" s="91">
        <f t="shared" ca="1" si="17"/>
        <v>367720</v>
      </c>
      <c r="N43" s="91">
        <f t="shared" ca="1" si="17"/>
        <v>367720</v>
      </c>
      <c r="O43" s="91">
        <f t="shared" ca="1" si="15"/>
        <v>103.55392847085328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355100</v>
      </c>
      <c r="M44" s="497">
        <f ca="1">M45+M46</f>
        <v>367720</v>
      </c>
      <c r="N44" s="497">
        <f ca="1">N45+N46</f>
        <v>367720</v>
      </c>
      <c r="O44" s="497">
        <f t="shared" ca="1" si="15"/>
        <v>103.55392847085328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IFERROR(__xludf.DUMMYFUNCTION("IMPORTRANGE(""https://docs.google.com/spreadsheets/d/1MeEWN-I1oV_STSDYn1IFDPWt_1FKiwhDph83XaGc0o0/edit?usp=sharing"",""งบพรบ!M65"")"),355100)</f>
        <v>355100</v>
      </c>
      <c r="M46" s="92">
        <f ca="1">IFERROR(__xludf.DUMMYFUNCTION("IMPORTRANGE(""https://docs.google.com/spreadsheets/d/1MeEWN-I1oV_STSDYn1IFDPWt_1FKiwhDph83XaGc0o0/edit?usp=sharing"",""งบพรบ!R65"")"),367720)</f>
        <v>367720</v>
      </c>
      <c r="N46" s="92">
        <f ca="1">IFERROR(__xludf.DUMMYFUNCTION("IMPORTRANGE(""https://docs.google.com/spreadsheets/d/1MeEWN-I1oV_STSDYn1IFDPWt_1FKiwhDph83XaGc0o0/edit?usp=sharing"",""งบพรบ!T65"")"),367720)</f>
        <v>367720</v>
      </c>
      <c r="O46" s="92">
        <f t="shared" ca="1" si="15"/>
        <v>103.55392847085328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IFERROR(__xludf.DUMMYFUNCTION("IMPORTRANGE(""https://docs.google.com/spreadsheets/d/1MeEWN-I1oV_STSDYn1IFDPWt_1FKiwhDph83XaGc0o0/edit?usp=sharing"",""งบพรบ!P65"")"),0)</f>
        <v>0</v>
      </c>
      <c r="M49" s="51">
        <f ca="1">IFERROR(__xludf.DUMMYFUNCTION("IMPORTRANGE(""https://docs.google.com/spreadsheets/d/1MeEWN-I1oV_STSDYn1IFDPWt_1FKiwhDph83XaGc0o0/edit?usp=sharing"",""งบพรบ!S65"")"),0)</f>
        <v>0</v>
      </c>
      <c r="N49" s="51">
        <f ca="1">IFERROR(__xludf.DUMMYFUNCTION("IMPORTRANGE(""https://docs.google.com/spreadsheets/d/1MeEWN-I1oV_STSDYn1IFDPWt_1FKiwhDph83XaGc0o0/edit?usp=sharing"",""งบพรบ!U65"")"),0)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714600</v>
      </c>
      <c r="M53" s="115">
        <f ca="1">M54+M55</f>
        <v>834820</v>
      </c>
      <c r="N53" s="115">
        <f ca="1">N54+N55</f>
        <v>832621.72</v>
      </c>
      <c r="O53" s="115">
        <f t="shared" ref="O53:O61" ca="1" si="18">IF(L53&gt;0,N53*100/L53,0)</f>
        <v>116.51577385950182</v>
      </c>
      <c r="P53" s="115">
        <f t="shared" ref="P53:P61" ca="1" si="19">IF(M53&gt;0,N53*100/M53,0)</f>
        <v>99.736676169713235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714600</v>
      </c>
      <c r="M55" s="122">
        <f t="shared" ca="1" si="20"/>
        <v>834820</v>
      </c>
      <c r="N55" s="122">
        <f t="shared" ca="1" si="20"/>
        <v>832621.72</v>
      </c>
      <c r="O55" s="122">
        <f t="shared" ca="1" si="18"/>
        <v>116.51577385950182</v>
      </c>
      <c r="P55" s="122">
        <f t="shared" ca="1" si="19"/>
        <v>99.736676169713235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686700</v>
      </c>
      <c r="M56" s="497">
        <f ca="1">M57+M58</f>
        <v>806920</v>
      </c>
      <c r="N56" s="497">
        <f ca="1">N57+N58</f>
        <v>804721.72</v>
      </c>
      <c r="O56" s="497">
        <f t="shared" ca="1" si="18"/>
        <v>117.18679481578565</v>
      </c>
      <c r="P56" s="497">
        <f t="shared" ca="1" si="19"/>
        <v>99.727571506469047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IFERROR(__xludf.DUMMYFUNCTION("IMPORTRANGE(""https://docs.google.com/spreadsheets/d/1MeEWN-I1oV_STSDYn1IFDPWt_1FKiwhDph83XaGc0o0/edit?usp=sharing"",""งบพรบ!W65"")"),686700)</f>
        <v>686700</v>
      </c>
      <c r="M58" s="92">
        <f ca="1">IFERROR(__xludf.DUMMYFUNCTION("IMPORTRANGE(""https://docs.google.com/spreadsheets/d/1MeEWN-I1oV_STSDYn1IFDPWt_1FKiwhDph83XaGc0o0/edit?usp=sharing"",""งบพรบ!AB65"")"),806920)</f>
        <v>806920</v>
      </c>
      <c r="N58" s="92">
        <f ca="1">IFERROR(__xludf.DUMMYFUNCTION("IMPORTRANGE(""https://docs.google.com/spreadsheets/d/1MeEWN-I1oV_STSDYn1IFDPWt_1FKiwhDph83XaGc0o0/edit?usp=sharing"",""งบพรบ!AD65"")"),804721.72)</f>
        <v>804721.72</v>
      </c>
      <c r="O58" s="92">
        <f t="shared" ca="1" si="18"/>
        <v>117.18679481578565</v>
      </c>
      <c r="P58" s="92">
        <f t="shared" ca="1" si="19"/>
        <v>99.727571506469047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27900</v>
      </c>
      <c r="M59" s="497">
        <f ca="1">M60+M61</f>
        <v>27900</v>
      </c>
      <c r="N59" s="497">
        <f ca="1">N60+N61</f>
        <v>27900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IFERROR(__xludf.DUMMYFUNCTION("IMPORTRANGE(""https://docs.google.com/spreadsheets/d/1MeEWN-I1oV_STSDYn1IFDPWt_1FKiwhDph83XaGc0o0/edit?usp=sharing"",""งบพรบ!Z65"")"),27900)</f>
        <v>27900</v>
      </c>
      <c r="M61" s="51">
        <f ca="1">IFERROR(__xludf.DUMMYFUNCTION("IMPORTRANGE(""https://docs.google.com/spreadsheets/d/1MeEWN-I1oV_STSDYn1IFDPWt_1FKiwhDph83XaGc0o0/edit?usp=sharing"",""งบพรบ!AC65"")"),27900)</f>
        <v>27900</v>
      </c>
      <c r="N61" s="51">
        <f ca="1">IFERROR(__xludf.DUMMYFUNCTION("IMPORTRANGE(""https://docs.google.com/spreadsheets/d/1MeEWN-I1oV_STSDYn1IFDPWt_1FKiwhDph83XaGc0o0/edit?usp=sharing"",""งบพรบ!AE65"")"),27900)</f>
        <v>27900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IFERROR(__xludf.DUMMYFUNCTION("IMPORTRANGE(""https://docs.google.com/spreadsheets/d/1MeEWN-I1oV_STSDYn1IFDPWt_1FKiwhDph83XaGc0o0/edit?usp=sharing"",""งบพรบ!AG65"")"),0)</f>
        <v>0</v>
      </c>
      <c r="M71" s="92">
        <f ca="1">IFERROR(__xludf.DUMMYFUNCTION("IMPORTRANGE(""https://docs.google.com/spreadsheets/d/1MeEWN-I1oV_STSDYn1IFDPWt_1FKiwhDph83XaGc0o0/edit?usp=sharing"",""งบพรบ!AL65"")"),0)</f>
        <v>0</v>
      </c>
      <c r="N71" s="92">
        <f ca="1">IFERROR(__xludf.DUMMYFUNCTION("IMPORTRANGE(""https://docs.google.com/spreadsheets/d/1MeEWN-I1oV_STSDYn1IFDPWt_1FKiwhDph83XaGc0o0/edit?usp=sharing"",""งบพรบ!AN65"")"),0)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IFERROR(__xludf.DUMMYFUNCTION("IMPORTRANGE(""https://docs.google.com/spreadsheets/d/1MeEWN-I1oV_STSDYn1IFDPWt_1FKiwhDph83XaGc0o0/edit?usp=sharing"",""งบพรบ!AJ65"")"),0)</f>
        <v>0</v>
      </c>
      <c r="M74" s="92">
        <f ca="1">IFERROR(__xludf.DUMMYFUNCTION("IMPORTRANGE(""https://docs.google.com/spreadsheets/d/1MeEWN-I1oV_STSDYn1IFDPWt_1FKiwhDph83XaGc0o0/edit?usp=sharing"",""งบพรบ!AM65"")"),0)</f>
        <v>0</v>
      </c>
      <c r="N74" s="92">
        <f ca="1">IFERROR(__xludf.DUMMYFUNCTION("IMPORTRANGE(""https://docs.google.com/spreadsheets/d/1MeEWN-I1oV_STSDYn1IFDPWt_1FKiwhDph83XaGc0o0/edit?usp=sharing"",""งบพรบ!AO65"")"),0)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IFERROR(__xludf.DUMMYFUNCTION("IMPORTRANGE(""https://docs.google.com/spreadsheets/d/1QqKyyYR6Q21VydFLVH3TRQUabQu_ym0Zz7PgGX0-kHA/edit?usp=sharing"",""แผน!F65"")"),0)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IFERROR(__xludf.DUMMYFUNCTION("IMPORTRANGE(""https://docs.google.com/spreadsheets/d/1QqKyyYR6Q21VydFLVH3TRQUabQu_ym0Zz7PgGX0-kHA/edit?usp=sharing"",""แผน!G65"")"),0)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IFERROR(__xludf.DUMMYFUNCTION("IMPORTRANGE(""https://docs.google.com/spreadsheets/d/1QqKyyYR6Q21VydFLVH3TRQUabQu_ym0Zz7PgGX0-kHA/edit?usp=sharing"",""แผน!D65"")"),0)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IFERROR(__xludf.DUMMYFUNCTION("IMPORTRANGE(""https://docs.google.com/spreadsheets/d/1QqKyyYR6Q21VydFLVH3TRQUabQu_ym0Zz7PgGX0-kHA/edit?usp=sharing"",""แผน!E65"")"),0)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IFERROR(__xludf.DUMMYFUNCTION("IMPORTRANGE(""https://docs.google.com/spreadsheets/d/1QqKyyYR6Q21VydFLVH3TRQUabQu_ym0Zz7PgGX0-kHA/edit?usp=sharing"",""แผน!J65"")"),0)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60</v>
      </c>
      <c r="J86" s="143">
        <f>J98</f>
        <v>60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20</v>
      </c>
      <c r="J87" s="143">
        <f>J99</f>
        <v>20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397480</v>
      </c>
      <c r="M88" s="154">
        <f ca="1">M89+M90</f>
        <v>397480</v>
      </c>
      <c r="N88" s="154">
        <f ca="1">N89+N90</f>
        <v>397480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397480</v>
      </c>
      <c r="M90" s="92">
        <f t="shared" ca="1" si="27"/>
        <v>397480</v>
      </c>
      <c r="N90" s="92">
        <f t="shared" ca="1" si="27"/>
        <v>397480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397480</v>
      </c>
      <c r="M91" s="497">
        <f ca="1">M92+M93</f>
        <v>397480</v>
      </c>
      <c r="N91" s="497">
        <f ca="1">N92+N93</f>
        <v>397480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IFERROR(__xludf.DUMMYFUNCTION("IMPORTRANGE(""https://docs.google.com/spreadsheets/d/1MeEWN-I1oV_STSDYn1IFDPWt_1FKiwhDph83XaGc0o0/edit?usp=sharing"",""งบพรบ!AQ65"")"),397480)</f>
        <v>397480</v>
      </c>
      <c r="M93" s="92">
        <f ca="1">IFERROR(__xludf.DUMMYFUNCTION("IMPORTRANGE(""https://docs.google.com/spreadsheets/d/1MeEWN-I1oV_STSDYn1IFDPWt_1FKiwhDph83XaGc0o0/edit?usp=sharing"",""งบพรบ!AV65"")"),397480)</f>
        <v>397480</v>
      </c>
      <c r="N93" s="92">
        <f ca="1">IFERROR(__xludf.DUMMYFUNCTION("IMPORTRANGE(""https://docs.google.com/spreadsheets/d/1MeEWN-I1oV_STSDYn1IFDPWt_1FKiwhDph83XaGc0o0/edit?usp=sharing"",""งบพรบ!AX65"")"),397480)</f>
        <v>397480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IFERROR(__xludf.DUMMYFUNCTION("IMPORTRANGE(""https://docs.google.com/spreadsheets/d/1MeEWN-I1oV_STSDYn1IFDPWt_1FKiwhDph83XaGc0o0/edit?usp=sharing"",""งบพรบ!AT65"")"),0)</f>
        <v>0</v>
      </c>
      <c r="M96" s="92">
        <f ca="1">IFERROR(__xludf.DUMMYFUNCTION("IMPORTRANGE(""https://docs.google.com/spreadsheets/d/1MeEWN-I1oV_STSDYn1IFDPWt_1FKiwhDph83XaGc0o0/edit?usp=sharing"",""งบพรบ!AW65"")"),0)</f>
        <v>0</v>
      </c>
      <c r="N96" s="92">
        <f ca="1">IFERROR(__xludf.DUMMYFUNCTION("IMPORTRANGE(""https://docs.google.com/spreadsheets/d/1MeEWN-I1oV_STSDYn1IFDPWt_1FKiwhDph83XaGc0o0/edit?usp=sharing"",""งบพรบ!AY65"")"),0)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IFERROR(__xludf.DUMMYFUNCTION("IMPORTRANGE(""https://docs.google.com/spreadsheets/d/1QqKyyYR6Q21VydFLVH3TRQUabQu_ym0Zz7PgGX0-kHA/edit?usp=sharing"",""แผน!K65"")"),60)</f>
        <v>60</v>
      </c>
      <c r="J98" s="269">
        <f>J102</f>
        <v>60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IFERROR(__xludf.DUMMYFUNCTION("IMPORTRANGE(""https://docs.google.com/spreadsheets/d/1QqKyyYR6Q21VydFLVH3TRQUabQu_ym0Zz7PgGX0-kHA/edit?usp=sharing"",""แผน!L65"")"),20)</f>
        <v>20</v>
      </c>
      <c r="J99" s="269">
        <f>J104</f>
        <v>20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IFERROR(__xludf.DUMMYFUNCTION("IMPORTRANGE(""https://docs.google.com/spreadsheets/d/1QqKyyYR6Q21VydFLVH3TRQUabQu_ym0Zz7PgGX0-kHA/edit?usp=sharing"",""แผน!M65"")"),2)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IFERROR(__xludf.DUMMYFUNCTION("IMPORTRANGE(""https://docs.google.com/spreadsheets/d/1QqKyyYR6Q21VydFLVH3TRQUabQu_ym0Zz7PgGX0-kHA/edit?usp=sharing"",""แผน!N65"")"),60)</f>
        <v>60</v>
      </c>
      <c r="J102" s="214">
        <v>60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IFERROR(__xludf.DUMMYFUNCTION("IMPORTRANGE(""https://docs.google.com/spreadsheets/d/1QqKyyYR6Q21VydFLVH3TRQUabQu_ym0Zz7PgGX0-kHA/edit?usp=sharing"",""แผน!O65"")"),20)</f>
        <v>20</v>
      </c>
      <c r="J103" s="214">
        <v>20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IFERROR(__xludf.DUMMYFUNCTION("IMPORTRANGE(""https://docs.google.com/spreadsheets/d/1QqKyyYR6Q21VydFLVH3TRQUabQu_ym0Zz7PgGX0-kHA/edit?usp=sharing"",""แผน!O65"")"),20)</f>
        <v>20</v>
      </c>
      <c r="J104" s="214">
        <v>20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IFERROR(__xludf.DUMMYFUNCTION("IMPORTRANGE(""https://docs.google.com/spreadsheets/d/1QqKyyYR6Q21VydFLVH3TRQUabQu_ym0Zz7PgGX0-kHA/edit?usp=sharing"",""แผน!P65"")"),1)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IFERROR(__xludf.DUMMYFUNCTION("IMPORTRANGE(""https://docs.google.com/spreadsheets/d/1QqKyyYR6Q21VydFLVH3TRQUabQu_ym0Zz7PgGX0-kHA/edit?usp=sharing"",""แผน!P65"")"),1)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IFERROR(__xludf.DUMMYFUNCTION("IMPORTRANGE(""https://docs.google.com/spreadsheets/d/1QqKyyYR6Q21VydFLVH3TRQUabQu_ym0Zz7PgGX0-kHA/edit?usp=sharing"",""แผน!Q65"")"),1)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IFERROR(__xludf.DUMMYFUNCTION("IMPORTRANGE(""https://docs.google.com/spreadsheets/d/1QqKyyYR6Q21VydFLVH3TRQUabQu_ym0Zz7PgGX0-kHA/edit?usp=sharing"",""แผน!Q65"")"),1)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20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IFERROR(__xludf.DUMMYFUNCTION("IMPORTRANGE(""https://docs.google.com/spreadsheets/d/1QqKyyYR6Q21VydFLVH3TRQUabQu_ym0Zz7PgGX0-kHA/edit?usp=sharing"",""แผน!R65"")"),20)</f>
        <v>20</v>
      </c>
      <c r="J113" s="214">
        <v>20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IFERROR(__xludf.DUMMYFUNCTION("IMPORTRANGE(""https://docs.google.com/spreadsheets/d/1QqKyyYR6Q21VydFLVH3TRQUabQu_ym0Zz7PgGX0-kHA/edit?usp=sharing"",""แผน!R65"")"),20)</f>
        <v>20</v>
      </c>
      <c r="J114" s="214">
        <v>20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IFERROR(__xludf.DUMMYFUNCTION("IMPORTRANGE(""https://docs.google.com/spreadsheets/d/1QqKyyYR6Q21VydFLVH3TRQUabQu_ym0Zz7PgGX0-kHA/edit?usp=sharing"",""แผน!S65"")"),1)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IFERROR(__xludf.DUMMYFUNCTION("IMPORTRANGE(""https://docs.google.com/spreadsheets/d/1QqKyyYR6Q21VydFLVH3TRQUabQu_ym0Zz7PgGX0-kHA/edit?usp=sharing"",""แผน!T65"")"),1)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IFERROR(__xludf.DUMMYFUNCTION("IMPORTRANGE(""https://docs.google.com/spreadsheets/d/1MeEWN-I1oV_STSDYn1IFDPWt_1FKiwhDph83XaGc0o0/edit?usp=sharing"",""งบพรบ!BA65"")"),0)</f>
        <v>0</v>
      </c>
      <c r="M124" s="92">
        <f ca="1">IFERROR(__xludf.DUMMYFUNCTION("IMPORTRANGE(""https://docs.google.com/spreadsheets/d/1MeEWN-I1oV_STSDYn1IFDPWt_1FKiwhDph83XaGc0o0/edit?usp=sharing"",""งบพรบ!BF65"")"),0)</f>
        <v>0</v>
      </c>
      <c r="N124" s="92">
        <f ca="1">IFERROR(__xludf.DUMMYFUNCTION("IMPORTRANGE(""https://docs.google.com/spreadsheets/d/1MeEWN-I1oV_STSDYn1IFDPWt_1FKiwhDph83XaGc0o0/edit?usp=sharing"",""งบพรบ!BH65"")"),0)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IFERROR(__xludf.DUMMYFUNCTION("IMPORTRANGE(""https://docs.google.com/spreadsheets/d/1MeEWN-I1oV_STSDYn1IFDPWt_1FKiwhDph83XaGc0o0/edit?usp=sharing"",""งบพรบ!BD65"")"),0)</f>
        <v>0</v>
      </c>
      <c r="M127" s="92">
        <f ca="1">IFERROR(__xludf.DUMMYFUNCTION("IMPORTRANGE(""https://docs.google.com/spreadsheets/d/1MeEWN-I1oV_STSDYn1IFDPWt_1FKiwhDph83XaGc0o0/edit?usp=sharing"",""งบพรบ!BG65"")"),0)</f>
        <v>0</v>
      </c>
      <c r="N127" s="92">
        <f ca="1">IFERROR(__xludf.DUMMYFUNCTION("IMPORTRANGE(""https://docs.google.com/spreadsheets/d/1MeEWN-I1oV_STSDYn1IFDPWt_1FKiwhDph83XaGc0o0/edit?usp=sharing"",""งบพรบ!BI65"")"),0)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IFERROR(__xludf.DUMMYFUNCTION("IMPORTRANGE(""https://docs.google.com/spreadsheets/d/1MeEWN-I1oV_STSDYn1IFDPWt_1FKiwhDph83XaGc0o0/edit?usp=sharing"",""งบพรบ!BK65"")"),0)</f>
        <v>0</v>
      </c>
      <c r="M137" s="92">
        <f ca="1">IFERROR(__xludf.DUMMYFUNCTION("IMPORTRANGE(""https://docs.google.com/spreadsheets/d/1MeEWN-I1oV_STSDYn1IFDPWt_1FKiwhDph83XaGc0o0/edit?usp=sharing"",""งบพรบ!BP65"")"),0)</f>
        <v>0</v>
      </c>
      <c r="N137" s="92">
        <f ca="1">IFERROR(__xludf.DUMMYFUNCTION("IMPORTRANGE(""https://docs.google.com/spreadsheets/d/1MeEWN-I1oV_STSDYn1IFDPWt_1FKiwhDph83XaGc0o0/edit?usp=sharing"",""งบพรบ!BR65"")"),0)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IFERROR(__xludf.DUMMYFUNCTION("IMPORTRANGE(""https://docs.google.com/spreadsheets/d/1MeEWN-I1oV_STSDYn1IFDPWt_1FKiwhDph83XaGc0o0/edit?usp=sharing"",""งบพรบ!BN65"")"),0)</f>
        <v>0</v>
      </c>
      <c r="M140" s="92">
        <f ca="1">IFERROR(__xludf.DUMMYFUNCTION("IMPORTRANGE(""https://docs.google.com/spreadsheets/d/1MeEWN-I1oV_STSDYn1IFDPWt_1FKiwhDph83XaGc0o0/edit?usp=sharing"",""งบพรบ!BQ65"")"),0)</f>
        <v>0</v>
      </c>
      <c r="N140" s="92">
        <f ca="1">IFERROR(__xludf.DUMMYFUNCTION("IMPORTRANGE(""https://docs.google.com/spreadsheets/d/1MeEWN-I1oV_STSDYn1IFDPWt_1FKiwhDph83XaGc0o0/edit?usp=sharing"",""งบพรบ!BS65"")"),0)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IFERROR(__xludf.DUMMYFUNCTION("IMPORTRANGE(""https://docs.google.com/spreadsheets/d/1QqKyyYR6Q21VydFLVH3TRQUabQu_ym0Zz7PgGX0-kHA/edit?usp=sharing"",""แผน!U65"")"),0)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IFERROR(__xludf.DUMMYFUNCTION("IMPORTRANGE(""https://docs.google.com/spreadsheets/d/1QqKyyYR6Q21VydFLVH3TRQUabQu_ym0Zz7PgGX0-kHA/edit?usp=sharing"",""แผน!V65"")"),0)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IFERROR(__xludf.DUMMYFUNCTION("IMPORTRANGE(""https://docs.google.com/spreadsheets/d/1QqKyyYR6Q21VydFLVH3TRQUabQu_ym0Zz7PgGX0-kHA/edit?usp=sharing"",""แผน!W65"")"),0)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7500</v>
      </c>
      <c r="N149" s="154">
        <f ca="1">N150+N151</f>
        <v>7500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7500</v>
      </c>
      <c r="N151" s="92">
        <f t="shared" ca="1" si="37"/>
        <v>7500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7500</v>
      </c>
      <c r="N152" s="497">
        <f ca="1">N153+N154</f>
        <v>7500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IFERROR(__xludf.DUMMYFUNCTION("IMPORTRANGE(""https://docs.google.com/spreadsheets/d/1MeEWN-I1oV_STSDYn1IFDPWt_1FKiwhDph83XaGc0o0/edit?usp=sharing"",""งบพรบ!BU65"")"),7500)</f>
        <v>7500</v>
      </c>
      <c r="M154" s="92">
        <f ca="1">IFERROR(__xludf.DUMMYFUNCTION("IMPORTRANGE(""https://docs.google.com/spreadsheets/d/1MeEWN-I1oV_STSDYn1IFDPWt_1FKiwhDph83XaGc0o0/edit?usp=sharing"",""งบพรบ!BZ65"")"),7500)</f>
        <v>7500</v>
      </c>
      <c r="N154" s="92">
        <f ca="1">IFERROR(__xludf.DUMMYFUNCTION("IMPORTRANGE(""https://docs.google.com/spreadsheets/d/1MeEWN-I1oV_STSDYn1IFDPWt_1FKiwhDph83XaGc0o0/edit?usp=sharing"",""งบพรบ!CB65"")"),7500)</f>
        <v>7500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IFERROR(__xludf.DUMMYFUNCTION("IMPORTRANGE(""https://docs.google.com/spreadsheets/d/1MeEWN-I1oV_STSDYn1IFDPWt_1FKiwhDph83XaGc0o0/edit?usp=sharing"",""งบพรบ!BX65"")"),0)</f>
        <v>0</v>
      </c>
      <c r="M157" s="92">
        <f ca="1">IFERROR(__xludf.DUMMYFUNCTION("IMPORTRANGE(""https://docs.google.com/spreadsheets/d/1MeEWN-I1oV_STSDYn1IFDPWt_1FKiwhDph83XaGc0o0/edit?usp=sharing"",""งบพรบ!CA65"")"),0)</f>
        <v>0</v>
      </c>
      <c r="N157" s="92">
        <f ca="1">IFERROR(__xludf.DUMMYFUNCTION("IMPORTRANGE(""https://docs.google.com/spreadsheets/d/1MeEWN-I1oV_STSDYn1IFDPWt_1FKiwhDph83XaGc0o0/edit?usp=sharing"",""งบพรบ!CC65"")"),0)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IFERROR(__xludf.DUMMYFUNCTION("IMPORTRANGE(""https://docs.google.com/spreadsheets/d/1QqKyyYR6Q21VydFLVH3TRQUabQu_ym0Zz7PgGX0-kHA/edit?usp=sharing"",""แผน!X65"")"),15)</f>
        <v>15</v>
      </c>
      <c r="J159" s="214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46990</v>
      </c>
      <c r="N165" s="154">
        <f ca="1">N166+N167</f>
        <v>46990</v>
      </c>
      <c r="O165" s="154">
        <f t="shared" ref="O165:O173" ca="1" si="38">IF(L165&gt;0,N165*100/L165,0)</f>
        <v>223.23040380047505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46990</v>
      </c>
      <c r="N167" s="92">
        <f t="shared" ca="1" si="40"/>
        <v>46990</v>
      </c>
      <c r="O167" s="92">
        <f t="shared" ca="1" si="38"/>
        <v>223.23040380047505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46990</v>
      </c>
      <c r="N168" s="497">
        <f ca="1">N169+N170</f>
        <v>46990</v>
      </c>
      <c r="O168" s="497">
        <f t="shared" ca="1" si="38"/>
        <v>223.23040380047505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IFERROR(__xludf.DUMMYFUNCTION("IMPORTRANGE(""https://docs.google.com/spreadsheets/d/1MeEWN-I1oV_STSDYn1IFDPWt_1FKiwhDph83XaGc0o0/edit?usp=sharing"",""งบพรบ!CE65"")"),21050)</f>
        <v>21050</v>
      </c>
      <c r="M170" s="92">
        <f ca="1">IFERROR(__xludf.DUMMYFUNCTION("IMPORTRANGE(""https://docs.google.com/spreadsheets/d/1MeEWN-I1oV_STSDYn1IFDPWt_1FKiwhDph83XaGc0o0/edit?usp=sharing"",""งบพรบ!CJ65"")"),46990)</f>
        <v>46990</v>
      </c>
      <c r="N170" s="92">
        <f ca="1">IFERROR(__xludf.DUMMYFUNCTION("IMPORTRANGE(""https://docs.google.com/spreadsheets/d/1MeEWN-I1oV_STSDYn1IFDPWt_1FKiwhDph83XaGc0o0/edit?usp=sharing"",""งบพรบ!CL65"")"),46990)</f>
        <v>46990</v>
      </c>
      <c r="O170" s="92">
        <f t="shared" ca="1" si="38"/>
        <v>223.23040380047505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IFERROR(__xludf.DUMMYFUNCTION("IMPORTRANGE(""https://docs.google.com/spreadsheets/d/1MeEWN-I1oV_STSDYn1IFDPWt_1FKiwhDph83XaGc0o0/edit?usp=sharing"",""งบพรบ!CH65"")"),0)</f>
        <v>0</v>
      </c>
      <c r="M173" s="92">
        <f ca="1">IFERROR(__xludf.DUMMYFUNCTION("IMPORTRANGE(""https://docs.google.com/spreadsheets/d/1MeEWN-I1oV_STSDYn1IFDPWt_1FKiwhDph83XaGc0o0/edit?usp=sharing"",""งบพรบ!CK65"")"),0)</f>
        <v>0</v>
      </c>
      <c r="N173" s="92">
        <f ca="1">IFERROR(__xludf.DUMMYFUNCTION("IMPORTRANGE(""https://docs.google.com/spreadsheets/d/1MeEWN-I1oV_STSDYn1IFDPWt_1FKiwhDph83XaGc0o0/edit?usp=sharing"",""งบพรบ!CM65"")"),0)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IFERROR(__xludf.DUMMYFUNCTION("IMPORTRANGE(""https://docs.google.com/spreadsheets/d/1QqKyyYR6Q21VydFLVH3TRQUabQu_ym0Zz7PgGX0-kHA/edit?usp=sharing"",""แผน!Y65"")"),10)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45500</v>
      </c>
      <c r="M181" s="154">
        <f ca="1">M182+M183</f>
        <v>45500</v>
      </c>
      <c r="N181" s="154">
        <f ca="1">N182+N183</f>
        <v>45500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45500</v>
      </c>
      <c r="M183" s="92">
        <f t="shared" ca="1" si="43"/>
        <v>45500</v>
      </c>
      <c r="N183" s="92">
        <f t="shared" ca="1" si="43"/>
        <v>45500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45500</v>
      </c>
      <c r="M184" s="497">
        <f ca="1">M185+M186</f>
        <v>45500</v>
      </c>
      <c r="N184" s="497">
        <f ca="1">N185+N186</f>
        <v>45500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IFERROR(__xludf.DUMMYFUNCTION("IMPORTRANGE(""https://docs.google.com/spreadsheets/d/1MeEWN-I1oV_STSDYn1IFDPWt_1FKiwhDph83XaGc0o0/edit?usp=sharing"",""งบพรบ!CO65"")"),45500)</f>
        <v>45500</v>
      </c>
      <c r="M186" s="92">
        <f ca="1">IFERROR(__xludf.DUMMYFUNCTION("IMPORTRANGE(""https://docs.google.com/spreadsheets/d/1MeEWN-I1oV_STSDYn1IFDPWt_1FKiwhDph83XaGc0o0/edit?usp=sharing"",""งบพรบ!CT65"")"),45500)</f>
        <v>45500</v>
      </c>
      <c r="N186" s="92">
        <f ca="1">IFERROR(__xludf.DUMMYFUNCTION("IMPORTRANGE(""https://docs.google.com/spreadsheets/d/1MeEWN-I1oV_STSDYn1IFDPWt_1FKiwhDph83XaGc0o0/edit?usp=sharing"",""งบพรบ!CV65"")"),45500)</f>
        <v>45500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IFERROR(__xludf.DUMMYFUNCTION("IMPORTRANGE(""https://docs.google.com/spreadsheets/d/1MeEWN-I1oV_STSDYn1IFDPWt_1FKiwhDph83XaGc0o0/edit?usp=sharing"",""งบพรบ!CR65"")"),0)</f>
        <v>0</v>
      </c>
      <c r="M189" s="92">
        <f ca="1">IFERROR(__xludf.DUMMYFUNCTION("IMPORTRANGE(""https://docs.google.com/spreadsheets/d/1MeEWN-I1oV_STSDYn1IFDPWt_1FKiwhDph83XaGc0o0/edit?usp=sharing"",""งบพรบ!CU65"")"),0)</f>
        <v>0</v>
      </c>
      <c r="N189" s="92">
        <f ca="1">IFERROR(__xludf.DUMMYFUNCTION("IMPORTRANGE(""https://docs.google.com/spreadsheets/d/1MeEWN-I1oV_STSDYn1IFDPWt_1FKiwhDph83XaGc0o0/edit?usp=sharing"",""งบพรบ!CW65"")"),0)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IFERROR(__xludf.DUMMYFUNCTION("IMPORTRANGE(""https://docs.google.com/spreadsheets/d/1QqKyyYR6Q21VydFLVH3TRQUabQu_ym0Zz7PgGX0-kHA/edit?usp=sharing"",""แผน!AC65"")"),4)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188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188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3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3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3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IFERROR(__xludf.DUMMYFUNCTION("IMPORTRANGE(""https://docs.google.com/spreadsheets/d/1QqKyyYR6Q21VydFLVH3TRQUabQu_ym0Zz7PgGX0-kHA/edit?usp=sharing"",""แผน!AI65"")"),2)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IFERROR(__xludf.DUMMYFUNCTION("IMPORTRANGE(""https://docs.google.com/spreadsheets/d/1QqKyyYR6Q21VydFLVH3TRQUabQu_ym0Zz7PgGX0-kHA/edit?usp=sharing"",""แผน!AN65"")"),0)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IFERROR(__xludf.DUMMYFUNCTION("IMPORTRANGE(""https://docs.google.com/spreadsheets/d/1QqKyyYR6Q21VydFLVH3TRQUabQu_ym0Zz7PgGX0-kHA/edit?usp=sharing"",""แผน!AN65"")"),0)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13500</v>
      </c>
      <c r="M217" s="154"/>
      <c r="N217" s="154">
        <f>N218+N219+N220</f>
        <v>13500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3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IFERROR(__xludf.DUMMYFUNCTION("IMPORTRANGE(""https://docs.google.com/spreadsheets/d/1QqKyyYR6Q21VydFLVH3TRQUabQu_ym0Zz7PgGX0-kHA/edit?usp=sharing"",""แผน!AT65"")"),30000)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IFERROR(__xludf.DUMMYFUNCTION("IMPORTRANGE(""https://docs.google.com/spreadsheets/d/1QqKyyYR6Q21VydFLVH3TRQUabQu_ym0Zz7PgGX0-kHA/edit?usp=sharing"",""แผน!AT65"")"),30000)</f>
        <v>30000</v>
      </c>
      <c r="J224" s="214">
        <v>30000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IFERROR(__xludf.DUMMYFUNCTION("IMPORTRANGE(""https://docs.google.com/spreadsheets/d/1QqKyyYR6Q21VydFLVH3TRQUabQu_ym0Zz7PgGX0-kHA/edit?usp=sharing"",""แผน!AS65"")"),0)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IFERROR(__xludf.DUMMYFUNCTION("IMPORTRANGE(""https://docs.google.com/spreadsheets/d/1QqKyyYR6Q21VydFLVH3TRQUabQu_ym0Zz7PgGX0-kHA/edit?usp=sharing"",""แผน!AV65"")"),0)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IFERROR(__xludf.DUMMYFUNCTION("IMPORTRANGE(""https://docs.google.com/spreadsheets/d/1QqKyyYR6Q21VydFLVH3TRQUabQu_ym0Zz7PgGX0-kHA/edit?usp=sharing"",""แผน!AW65"")"),0)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IFERROR(__xludf.DUMMYFUNCTION("IMPORTRANGE(""https://docs.google.com/spreadsheets/d/1QqKyyYR6Q21VydFLVH3TRQUabQu_ym0Zz7PgGX0-kHA/edit?usp=sharing"",""แผน!AX65"")"),0)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IFERROR(__xludf.DUMMYFUNCTION("IMPORTRANGE(""https://docs.google.com/spreadsheets/d/1QqKyyYR6Q21VydFLVH3TRQUabQu_ym0Zz7PgGX0-kHA/edit?usp=sharing"",""แผน!AY65"")"),0)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IFERROR(__xludf.DUMMYFUNCTION("IMPORTRANGE(""https://docs.google.com/spreadsheets/d/1QqKyyYR6Q21VydFLVH3TRQUabQu_ym0Zz7PgGX0-kHA/edit?usp=sharing"",""แผน!BE65"")"),0)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IFERROR(__xludf.DUMMYFUNCTION("IMPORTRANGE(""https://docs.google.com/spreadsheets/d/1QqKyyYR6Q21VydFLVH3TRQUabQu_ym0Zz7PgGX0-kHA/edit?usp=sharing"",""แผน!AZ65"")"),0)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IFERROR(__xludf.DUMMYFUNCTION("IMPORTRANGE(""https://docs.google.com/spreadsheets/d/1QqKyyYR6Q21VydFLVH3TRQUabQu_ym0Zz7PgGX0-kHA/edit?usp=sharing"",""แผน!BA65"")"),0)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IFERROR(__xludf.DUMMYFUNCTION("IMPORTRANGE(""https://docs.google.com/spreadsheets/d/1QqKyyYR6Q21VydFLVH3TRQUabQu_ym0Zz7PgGX0-kHA/edit?usp=sharing"",""แผน!BB65"")"),0)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IFERROR(__xludf.DUMMYFUNCTION("IMPORTRANGE(""https://docs.google.com/spreadsheets/d/1QqKyyYR6Q21VydFLVH3TRQUabQu_ym0Zz7PgGX0-kHA/edit?usp=sharing"",""แผน!BC65"")"),0)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IFERROR(__xludf.DUMMYFUNCTION("IMPORTRANGE(""https://docs.google.com/spreadsheets/d/1QqKyyYR6Q21VydFLVH3TRQUabQu_ym0Zz7PgGX0-kHA/edit?usp=sharing"",""แผน!BF65"")"),0)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IFERROR(__xludf.DUMMYFUNCTION("IMPORTRANGE(""https://docs.google.com/spreadsheets/d/1MeEWN-I1oV_STSDYn1IFDPWt_1FKiwhDph83XaGc0o0/edit?usp=sharing"",""งบพรบ!CY65"")"),26900)</f>
        <v>26900</v>
      </c>
      <c r="M266" s="92">
        <f ca="1">IFERROR(__xludf.DUMMYFUNCTION("IMPORTRANGE(""https://docs.google.com/spreadsheets/d/1MeEWN-I1oV_STSDYn1IFDPWt_1FKiwhDph83XaGc0o0/edit?usp=sharing"",""งบพรบ!DD65"")"),26900)</f>
        <v>26900</v>
      </c>
      <c r="N266" s="92">
        <f ca="1">IFERROR(__xludf.DUMMYFUNCTION("IMPORTRANGE(""https://docs.google.com/spreadsheets/d/1MeEWN-I1oV_STSDYn1IFDPWt_1FKiwhDph83XaGc0o0/edit?usp=sharing"",""งบพรบ!DF65"")"),26900)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IFERROR(__xludf.DUMMYFUNCTION("IMPORTRANGE(""https://docs.google.com/spreadsheets/d/1MeEWN-I1oV_STSDYn1IFDPWt_1FKiwhDph83XaGc0o0/edit?usp=sharing"",""งบพรบ!DB65"")"),0)</f>
        <v>0</v>
      </c>
      <c r="M269" s="92">
        <f ca="1">IFERROR(__xludf.DUMMYFUNCTION("IMPORTRANGE(""https://docs.google.com/spreadsheets/d/1MeEWN-I1oV_STSDYn1IFDPWt_1FKiwhDph83XaGc0o0/edit?usp=sharing"",""งบพรบ!DE65"")"),0)</f>
        <v>0</v>
      </c>
      <c r="N269" s="92">
        <f ca="1">IFERROR(__xludf.DUMMYFUNCTION("IMPORTRANGE(""https://docs.google.com/spreadsheets/d/1MeEWN-I1oV_STSDYn1IFDPWt_1FKiwhDph83XaGc0o0/edit?usp=sharing"",""งบพรบ!DG65"")"),0)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IFERROR(__xludf.DUMMYFUNCTION("IMPORTRANGE(""https://docs.google.com/spreadsheets/d/1QqKyyYR6Q21VydFLVH3TRQUabQu_ym0Zz7PgGX0-kHA/edit?usp=sharing"",""แผน!EA65"")"),22)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IFERROR(__xludf.DUMMYFUNCTION("IMPORTRANGE(""https://docs.google.com/spreadsheets/d/1MeEWN-I1oV_STSDYn1IFDPWt_1FKiwhDph83XaGc0o0/edit?usp=sharing"",""งบพรบ!DI65"")"),0)</f>
        <v>0</v>
      </c>
      <c r="M282" s="92">
        <f ca="1">IFERROR(__xludf.DUMMYFUNCTION("IMPORTRANGE(""https://docs.google.com/spreadsheets/d/1MeEWN-I1oV_STSDYn1IFDPWt_1FKiwhDph83XaGc0o0/edit?usp=sharing"",""งบพรบ!DN65"")"),0)</f>
        <v>0</v>
      </c>
      <c r="N282" s="92">
        <f ca="1">IFERROR(__xludf.DUMMYFUNCTION("IMPORTRANGE(""https://docs.google.com/spreadsheets/d/1MeEWN-I1oV_STSDYn1IFDPWt_1FKiwhDph83XaGc0o0/edit?usp=sharing"",""งบพรบ!DP65"")"),0)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IFERROR(__xludf.DUMMYFUNCTION("IMPORTRANGE(""https://docs.google.com/spreadsheets/d/1MeEWN-I1oV_STSDYn1IFDPWt_1FKiwhDph83XaGc0o0/edit?usp=sharing"",""งบพรบ!DL65"")"),0)</f>
        <v>0</v>
      </c>
      <c r="M285" s="92">
        <f ca="1">IFERROR(__xludf.DUMMYFUNCTION("IMPORTRANGE(""https://docs.google.com/spreadsheets/d/1MeEWN-I1oV_STSDYn1IFDPWt_1FKiwhDph83XaGc0o0/edit?usp=sharing"",""งบพรบ!DO65"")"),0)</f>
        <v>0</v>
      </c>
      <c r="N285" s="92">
        <f ca="1">IFERROR(__xludf.DUMMYFUNCTION("IMPORTRANGE(""https://docs.google.com/spreadsheets/d/1MeEWN-I1oV_STSDYn1IFDPWt_1FKiwhDph83XaGc0o0/edit?usp=sharing"",""งบพรบ!DQ65"")"),0)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IFERROR(__xludf.DUMMYFUNCTION("IMPORTRANGE(""https://docs.google.com/spreadsheets/d/1QqKyyYR6Q21VydFLVH3TRQUabQu_ym0Zz7PgGX0-kHA/edit?usp=sharing"",""แผน!EC65"")"),0)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IFERROR(__xludf.DUMMYFUNCTION("IMPORTRANGE(""https://docs.google.com/spreadsheets/d/1QqKyyYR6Q21VydFLVH3TRQUabQu_ym0Zz7PgGX0-kHA/edit?usp=sharing"",""แผน!EB65"")"),0)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IFERROR(__xludf.DUMMYFUNCTION("IMPORTRANGE(""https://docs.google.com/spreadsheets/d/1QqKyyYR6Q21VydFLVH3TRQUabQu_ym0Zz7PgGX0-kHA/edit?usp=sharing"",""แผน!EB65"")"),0)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IFERROR(__xludf.DUMMYFUNCTION("IMPORTRANGE(""https://docs.google.com/spreadsheets/d/1QqKyyYR6Q21VydFLVH3TRQUabQu_ym0Zz7PgGX0-kHA/edit?usp=sharing"",""แผน!EB65"")"),0)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IFERROR(__xludf.DUMMYFUNCTION("IMPORTRANGE(""https://docs.google.com/spreadsheets/d/1QqKyyYR6Q21VydFLVH3TRQUabQu_ym0Zz7PgGX0-kHA/edit?usp=sharing"",""แผน!EB65"")"),0)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IFERROR(__xludf.DUMMYFUNCTION("IMPORTRANGE(""https://docs.google.com/spreadsheets/d/1MeEWN-I1oV_STSDYn1IFDPWt_1FKiwhDph83XaGc0o0/edit?usp=sharing"",""งบพรบ!DS65"")"),0)</f>
        <v>0</v>
      </c>
      <c r="M303" s="92">
        <f ca="1">IFERROR(__xludf.DUMMYFUNCTION("IMPORTRANGE(""https://docs.google.com/spreadsheets/d/1MeEWN-I1oV_STSDYn1IFDPWt_1FKiwhDph83XaGc0o0/edit?usp=sharing"",""งบพรบ!DX65"")"),0)</f>
        <v>0</v>
      </c>
      <c r="N303" s="92">
        <f ca="1">IFERROR(__xludf.DUMMYFUNCTION("IMPORTRANGE(""https://docs.google.com/spreadsheets/d/1MeEWN-I1oV_STSDYn1IFDPWt_1FKiwhDph83XaGc0o0/edit?usp=sharing"",""งบพรบ!DZ65"")"),0)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IFERROR(__xludf.DUMMYFUNCTION("IMPORTRANGE(""https://docs.google.com/spreadsheets/d/1MeEWN-I1oV_STSDYn1IFDPWt_1FKiwhDph83XaGc0o0/edit?usp=sharing"",""งบพรบ!DV65"")"),0)</f>
        <v>0</v>
      </c>
      <c r="M306" s="92">
        <f ca="1">IFERROR(__xludf.DUMMYFUNCTION("IMPORTRANGE(""https://docs.google.com/spreadsheets/d/1MeEWN-I1oV_STSDYn1IFDPWt_1FKiwhDph83XaGc0o0/edit?usp=sharing"",""งบพรบ!DY65"")"),0)</f>
        <v>0</v>
      </c>
      <c r="N306" s="92">
        <f ca="1">IFERROR(__xludf.DUMMYFUNCTION("IMPORTRANGE(""https://docs.google.com/spreadsheets/d/1MeEWN-I1oV_STSDYn1IFDPWt_1FKiwhDph83XaGc0o0/edit?usp=sharing"",""งบพรบ!EA65"")"),0)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IFERROR(__xludf.DUMMYFUNCTION("IMPORTRANGE(""https://docs.google.com/spreadsheets/d/1QqKyyYR6Q21VydFLVH3TRQUabQu_ym0Zz7PgGX0-kHA/edit?usp=sharing"",""แผน!ED65"")"),0)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IFERROR(__xludf.DUMMYFUNCTION("IMPORTRANGE(""https://docs.google.com/spreadsheets/d/1QqKyyYR6Q21VydFLVH3TRQUabQu_ym0Zz7PgGX0-kHA/edit?usp=sharing"",""แผน!ED65"")"),0)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IFERROR(__xludf.DUMMYFUNCTION("IMPORTRANGE(""https://docs.google.com/spreadsheets/d/1QqKyyYR6Q21VydFLVH3TRQUabQu_ym0Zz7PgGX0-kHA/edit?usp=sharing"",""แผน!ED65"")"),0)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IFERROR(__xludf.DUMMYFUNCTION("IMPORTRANGE(""https://docs.google.com/spreadsheets/d/1QqKyyYR6Q21VydFLVH3TRQUabQu_ym0Zz7PgGX0-kHA/edit?usp=sharing"",""แผน!EE65"")"),0)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IFERROR(__xludf.DUMMYFUNCTION("IMPORTRANGE(""https://docs.google.com/spreadsheets/d/1MeEWN-I1oV_STSDYn1IFDPWt_1FKiwhDph83XaGc0o0/edit?usp=sharing"",""งบพรบ!EC65"")"),0)</f>
        <v>0</v>
      </c>
      <c r="M320" s="92">
        <f ca="1">IFERROR(__xludf.DUMMYFUNCTION("IMPORTRANGE(""https://docs.google.com/spreadsheets/d/1MeEWN-I1oV_STSDYn1IFDPWt_1FKiwhDph83XaGc0o0/edit?usp=sharing"",""งบพรบ!EH65"")"),0)</f>
        <v>0</v>
      </c>
      <c r="N320" s="92">
        <f ca="1">IFERROR(__xludf.DUMMYFUNCTION("IMPORTRANGE(""https://docs.google.com/spreadsheets/d/1MeEWN-I1oV_STSDYn1IFDPWt_1FKiwhDph83XaGc0o0/edit?usp=sharing"",""งบพรบ!EJ65"")"),0)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IFERROR(__xludf.DUMMYFUNCTION("IMPORTRANGE(""https://docs.google.com/spreadsheets/d/1MeEWN-I1oV_STSDYn1IFDPWt_1FKiwhDph83XaGc0o0/edit?usp=sharing"",""งบพรบ!EF65"")"),0)</f>
        <v>0</v>
      </c>
      <c r="M323" s="92">
        <f ca="1">IFERROR(__xludf.DUMMYFUNCTION("IMPORTRANGE(""https://docs.google.com/spreadsheets/d/1MeEWN-I1oV_STSDYn1IFDPWt_1FKiwhDph83XaGc0o0/edit?usp=sharing"",""งบพรบ!EI65"")"),0)</f>
        <v>0</v>
      </c>
      <c r="N323" s="92">
        <f ca="1">IFERROR(__xludf.DUMMYFUNCTION("IMPORTRANGE(""https://docs.google.com/spreadsheets/d/1MeEWN-I1oV_STSDYn1IFDPWt_1FKiwhDph83XaGc0o0/edit?usp=sharing"",""งบพรบ!EK65"")"),0)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IFERROR(__xludf.DUMMYFUNCTION("IMPORTRANGE(""https://docs.google.com/spreadsheets/d/1QqKyyYR6Q21VydFLVH3TRQUabQu_ym0Zz7PgGX0-kHA/edit?usp=sharing"",""แผน!EF65"")"),0)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IFERROR(__xludf.DUMMYFUNCTION("IMPORTRANGE(""https://docs.google.com/spreadsheets/d/1QqKyyYR6Q21VydFLVH3TRQUabQu_ym0Zz7PgGX0-kHA/edit?usp=sharing"",""แผน!EG65"")"),700)</f>
        <v>700</v>
      </c>
      <c r="J327" s="443">
        <f ca="1">J338+J341+J342+J343</f>
        <v>708</v>
      </c>
      <c r="K327" s="444">
        <f ca="1">IF(I327&gt;0,J327*100/I327,0)</f>
        <v>101.14285714285714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161000</v>
      </c>
      <c r="M328" s="154">
        <f ca="1">M329+M330</f>
        <v>163500</v>
      </c>
      <c r="N328" s="154">
        <f ca="1">N329+N330</f>
        <v>163489.29999999999</v>
      </c>
      <c r="O328" s="154">
        <f t="shared" ref="O328:O336" ca="1" si="56">IF(L328&gt;0,N328*100/L328,0)</f>
        <v>101.54614906832298</v>
      </c>
      <c r="P328" s="154">
        <f t="shared" ref="P328:P336" ca="1" si="57">IF(M328&gt;0,N328*100/M328,0)</f>
        <v>99.993455657492348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161000</v>
      </c>
      <c r="M330" s="92">
        <f t="shared" ca="1" si="58"/>
        <v>163500</v>
      </c>
      <c r="N330" s="92">
        <f t="shared" ca="1" si="58"/>
        <v>163489.29999999999</v>
      </c>
      <c r="O330" s="92">
        <f t="shared" ca="1" si="56"/>
        <v>101.54614906832298</v>
      </c>
      <c r="P330" s="92">
        <f t="shared" ca="1" si="57"/>
        <v>99.993455657492348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161000</v>
      </c>
      <c r="M331" s="497">
        <f ca="1">M332+M333</f>
        <v>163500</v>
      </c>
      <c r="N331" s="497">
        <f ca="1">N332+N333</f>
        <v>163489.29999999999</v>
      </c>
      <c r="O331" s="497">
        <f t="shared" ca="1" si="56"/>
        <v>101.54614906832298</v>
      </c>
      <c r="P331" s="497">
        <f t="shared" ca="1" si="57"/>
        <v>99.993455657492348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IFERROR(__xludf.DUMMYFUNCTION("IMPORTRANGE(""https://docs.google.com/spreadsheets/d/1MeEWN-I1oV_STSDYn1IFDPWt_1FKiwhDph83XaGc0o0/edit?usp=sharing"",""งบพรบ!EM65"")"),161000)</f>
        <v>161000</v>
      </c>
      <c r="M333" s="92">
        <f ca="1">IFERROR(__xludf.DUMMYFUNCTION("IMPORTRANGE(""https://docs.google.com/spreadsheets/d/1MeEWN-I1oV_STSDYn1IFDPWt_1FKiwhDph83XaGc0o0/edit?usp=sharing"",""งบพรบ!ER65"")"),163500)</f>
        <v>163500</v>
      </c>
      <c r="N333" s="92">
        <f ca="1">IFERROR(__xludf.DUMMYFUNCTION("IMPORTRANGE(""https://docs.google.com/spreadsheets/d/1MeEWN-I1oV_STSDYn1IFDPWt_1FKiwhDph83XaGc0o0/edit?usp=sharing"",""งบพรบ!ET65"")"),163489.3)</f>
        <v>163489.29999999999</v>
      </c>
      <c r="O333" s="92">
        <f t="shared" ca="1" si="56"/>
        <v>101.54614906832298</v>
      </c>
      <c r="P333" s="92">
        <f t="shared" ca="1" si="57"/>
        <v>99.993455657492348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IFERROR(__xludf.DUMMYFUNCTION("IMPORTRANGE(""https://docs.google.com/spreadsheets/d/1MeEWN-I1oV_STSDYn1IFDPWt_1FKiwhDph83XaGc0o0/edit?usp=sharing"",""งบพรบ!EP65"")"),0)</f>
        <v>0</v>
      </c>
      <c r="M336" s="92">
        <f ca="1">IFERROR(__xludf.DUMMYFUNCTION("IMPORTRANGE(""https://docs.google.com/spreadsheets/d/1MeEWN-I1oV_STSDYn1IFDPWt_1FKiwhDph83XaGc0o0/edit?usp=sharing"",""งบพรบ!ES65"")"),0)</f>
        <v>0</v>
      </c>
      <c r="N336" s="92">
        <f ca="1">IFERROR(__xludf.DUMMYFUNCTION("IMPORTRANGE(""https://docs.google.com/spreadsheets/d/1MeEWN-I1oV_STSDYn1IFDPWt_1FKiwhDph83XaGc0o0/edit?usp=sharing"",""งบพรบ!EU65"")"),0)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IFERROR(__xludf.DUMMYFUNCTION("IMPORTRANGE(""https://docs.google.com/spreadsheets/d/1QqKyyYR6Q21VydFLVH3TRQUabQu_ym0Zz7PgGX0-kHA/edit?usp=sharing"",""แผน!EG65"")"),700)</f>
        <v>700</v>
      </c>
      <c r="J338" s="269">
        <f ca="1">IFERROR(__xludf.DUMMYFUNCTION("IMPORTRANGE(""https://docs.google.com/spreadsheets/d/1kVcqe37tkHyjCSG3S0O1AXqVkqjo8mSIZil3BcpIysc/edit?usp=sharing"",""ศูนย์!D65"")"),520)</f>
        <v>520</v>
      </c>
      <c r="K338" s="497">
        <f ca="1">IF(I338&gt;0,J338*100/I338,0)</f>
        <v>74.285714285714292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IFERROR(__xludf.DUMMYFUNCTION("IMPORTRANGE(""https://docs.google.com/spreadsheets/d/1QqKyyYR6Q21VydFLVH3TRQUabQu_ym0Zz7PgGX0-kHA/edit?usp=sharing"",""แผน!EH65"")"),4)</f>
        <v>4</v>
      </c>
      <c r="J340" s="269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IFERROR(__xludf.DUMMYFUNCTION("IMPORTRANGE(""https://docs.google.com/spreadsheets/d/1kVcqe37tkHyjCSG3S0O1AXqVkqjo8mSIZil3BcpIysc/edit?usp=sharing"",""ศูนย์!G65"")"),3)</f>
        <v>3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IFERROR(__xludf.DUMMYFUNCTION("IMPORTRANGE(""https://docs.google.com/spreadsheets/d/1kVcqe37tkHyjCSG3S0O1AXqVkqjo8mSIZil3BcpIysc/edit?usp=sharing"",""ศูนย์!H65"")"),48)</f>
        <v>48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466680</v>
      </c>
      <c r="M345" s="154">
        <f ca="1">M346+M347</f>
        <v>521060</v>
      </c>
      <c r="N345" s="154">
        <f ca="1">N346+N347</f>
        <v>521060</v>
      </c>
      <c r="O345" s="154">
        <f t="shared" ref="O345:O353" ca="1" si="59">IF(L345&gt;0,N345*100/L345,0)</f>
        <v>111.65252421359389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466680</v>
      </c>
      <c r="M347" s="92">
        <f t="shared" ca="1" si="61"/>
        <v>521060</v>
      </c>
      <c r="N347" s="92">
        <f t="shared" ca="1" si="61"/>
        <v>521060</v>
      </c>
      <c r="O347" s="92">
        <f t="shared" ca="1" si="59"/>
        <v>111.65252421359389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420680</v>
      </c>
      <c r="M348" s="497">
        <f ca="1">M349+M350</f>
        <v>475060</v>
      </c>
      <c r="N348" s="497">
        <f ca="1">N349+N350</f>
        <v>475060</v>
      </c>
      <c r="O348" s="497">
        <f t="shared" ca="1" si="59"/>
        <v>112.92669012075687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IFERROR(__xludf.DUMMYFUNCTION("IMPORTRANGE(""https://docs.google.com/spreadsheets/d/1MeEWN-I1oV_STSDYn1IFDPWt_1FKiwhDph83XaGc0o0/edit?usp=sharing"",""งบพรบ!EW65"")"),420680)</f>
        <v>420680</v>
      </c>
      <c r="M350" s="92">
        <f ca="1">IFERROR(__xludf.DUMMYFUNCTION("IMPORTRANGE(""https://docs.google.com/spreadsheets/d/1MeEWN-I1oV_STSDYn1IFDPWt_1FKiwhDph83XaGc0o0/edit?usp=sharing"",""งบพรบ!FB65"")"),475060)</f>
        <v>475060</v>
      </c>
      <c r="N350" s="92">
        <f ca="1">IFERROR(__xludf.DUMMYFUNCTION("IMPORTRANGE(""https://docs.google.com/spreadsheets/d/1MeEWN-I1oV_STSDYn1IFDPWt_1FKiwhDph83XaGc0o0/edit?usp=sharing"",""งบพรบ!FD65"")"),475060)</f>
        <v>475060</v>
      </c>
      <c r="O350" s="92">
        <f t="shared" ca="1" si="59"/>
        <v>112.92669012075687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46000</v>
      </c>
      <c r="M351" s="497">
        <f ca="1">M352+M353</f>
        <v>46000</v>
      </c>
      <c r="N351" s="497">
        <f ca="1">N352+N353</f>
        <v>46000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IFERROR(__xludf.DUMMYFUNCTION("IMPORTRANGE(""https://docs.google.com/spreadsheets/d/1MeEWN-I1oV_STSDYn1IFDPWt_1FKiwhDph83XaGc0o0/edit?usp=sharing"",""งบพรบ!EZ65"")"),46000)</f>
        <v>46000</v>
      </c>
      <c r="M353" s="92">
        <f ca="1">IFERROR(__xludf.DUMMYFUNCTION("IMPORTRANGE(""https://docs.google.com/spreadsheets/d/1MeEWN-I1oV_STSDYn1IFDPWt_1FKiwhDph83XaGc0o0/edit?usp=sharing"",""งบพรบ!FC65"")"),46000)</f>
        <v>46000</v>
      </c>
      <c r="N353" s="92">
        <f ca="1">IFERROR(__xludf.DUMMYFUNCTION("IMPORTRANGE(""https://docs.google.com/spreadsheets/d/1MeEWN-I1oV_STSDYn1IFDPWt_1FKiwhDph83XaGc0o0/edit?usp=sharing"",""งบพรบ!FE65"")"),46000)</f>
        <v>46000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3</v>
      </c>
      <c r="K355" s="465">
        <f ca="1">IF(I355&gt;0,J355*100/I355,0)</f>
        <v>21.428571428571427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IFERROR(__xludf.DUMMYFUNCTION("IMPORTRANGE(""https://docs.google.com/spreadsheets/d/1XWAQStnk-4SwqDmLtmXYiTMKHgktTP8We1SCoS47DrQ/edit?usp=sharing"",""จัดที่ดิน!W65"")"),4)</f>
        <v>4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IFERROR(__xludf.DUMMYFUNCTION("IMPORTRANGE(""https://docs.google.com/spreadsheets/d/1QqKyyYR6Q21VydFLVH3TRQUabQu_ym0Zz7PgGX0-kHA/edit?usp=sharing"",""แผน!EO65"")"),150)</f>
        <v>150</v>
      </c>
      <c r="J359" s="269">
        <f ca="1">IFERROR(__xludf.DUMMYFUNCTION("IMPORTRANGE(""https://docs.google.com/spreadsheets/d/1XWAQStnk-4SwqDmLtmXYiTMKHgktTP8We1SCoS47DrQ/edit?usp=sharing"",""จัดที่ดิน!X65"")"),33.39)</f>
        <v>33.39</v>
      </c>
      <c r="K359" s="497">
        <f t="shared" ca="1" si="62"/>
        <v>22.26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IFERROR(__xludf.DUMMYFUNCTION("IMPORTRANGE(""https://docs.google.com/spreadsheets/d/1QqKyyYR6Q21VydFLVH3TRQUabQu_ym0Zz7PgGX0-kHA/edit?usp=sharing"",""แผน!EP65"")"),14)</f>
        <v>14</v>
      </c>
      <c r="J360" s="269">
        <f ca="1">IFERROR(__xludf.DUMMYFUNCTION("IMPORTRANGE(""https://docs.google.com/spreadsheets/d/1XWAQStnk-4SwqDmLtmXYiTMKHgktTP8We1SCoS47DrQ/edit?usp=sharing"",""จัดที่ดิน!Y65"")"),4)</f>
        <v>4</v>
      </c>
      <c r="K360" s="497">
        <f t="shared" ca="1" si="62"/>
        <v>28.571428571428573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IFERROR(__xludf.DUMMYFUNCTION("IMPORTRANGE(""https://docs.google.com/spreadsheets/d/1XWAQStnk-4SwqDmLtmXYiTMKHgktTP8We1SCoS47DrQ/edit?usp=sharing"",""จัดที่ดิน!Z65"")"),33.39)</f>
        <v>33.39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IFERROR(__xludf.DUMMYFUNCTION("IMPORTRANGE(""https://docs.google.com/spreadsheets/d/1QqKyyYR6Q21VydFLVH3TRQUabQu_ym0Zz7PgGX0-kHA/edit?usp=sharing"",""แผน!EP65"")"),14)</f>
        <v>14</v>
      </c>
      <c r="J362" s="269">
        <f ca="1">IFERROR(__xludf.DUMMYFUNCTION("IMPORTRANGE(""https://docs.google.com/spreadsheets/d/1XWAQStnk-4SwqDmLtmXYiTMKHgktTP8We1SCoS47DrQ/edit?usp=sharing"",""จัดที่ดิน!AA65"")"),3)</f>
        <v>3</v>
      </c>
      <c r="K362" s="497">
        <f t="shared" ca="1" si="62"/>
        <v>21.428571428571427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IFERROR(__xludf.DUMMYFUNCTION("IMPORTRANGE(""https://docs.google.com/spreadsheets/d/1XWAQStnk-4SwqDmLtmXYiTMKHgktTP8We1SCoS47DrQ/edit?usp=sharing"",""จัดที่ดิน!AB65"")"),28.23)</f>
        <v>28.23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69</v>
      </c>
      <c r="J364" s="478">
        <f ca="1">J365+J374</f>
        <v>85</v>
      </c>
      <c r="K364" s="479">
        <f t="shared" ca="1" si="62"/>
        <v>123.18840579710145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IFERROR(__xludf.DUMMYFUNCTION("IMPORTRANGE(""https://docs.google.com/spreadsheets/d/1QqKyyYR6Q21VydFLVH3TRQUabQu_ym0Zz7PgGX0-kHA/edit?usp=sharing"",""แผน!EI65"")"),50)</f>
        <v>50</v>
      </c>
      <c r="J369" s="269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63"/>
        <v>10.32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IFERROR(__xludf.DUMMYFUNCTION("IMPORTRANGE(""https://docs.google.com/spreadsheets/d/1QqKyyYR6Q21VydFLVH3TRQUabQu_ym0Zz7PgGX0-kHA/edit?usp=sharing"",""แผน!EJ65"")"),4)</f>
        <v>4</v>
      </c>
      <c r="J370" s="269">
        <f ca="1">IFERROR(__xludf.DUMMYFUNCTION("IMPORTRANGE(""https://docs.google.com/spreadsheets/d/1XWAQStnk-4SwqDmLtmXYiTMKHgktTP8We1SCoS47DrQ/edit?usp=sharing"",""จัดที่ดิน!G65"")"),1)</f>
        <v>1</v>
      </c>
      <c r="K370" s="497">
        <f t="shared" ca="1" si="63"/>
        <v>25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IFERROR(__xludf.DUMMYFUNCTION("IMPORTRANGE(""https://docs.google.com/spreadsheets/d/1XWAQStnk-4SwqDmLtmXYiTMKHgktTP8We1SCoS47DrQ/edit?usp=sharing"",""จัดที่ดิน!H65"")"),5.16)</f>
        <v>5.16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IFERROR(__xludf.DUMMYFUNCTION("IMPORTRANGE(""https://docs.google.com/spreadsheets/d/1QqKyyYR6Q21VydFLVH3TRQUabQu_ym0Zz7PgGX0-kHA/edit?usp=sharing"",""แผน!EJ65"")"),4)</f>
        <v>4</v>
      </c>
      <c r="J372" s="269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85</v>
      </c>
      <c r="K374" s="491">
        <f t="shared" ca="1" si="63"/>
        <v>130.76923076923077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IFERROR(__xludf.DUMMYFUNCTION("IMPORTRANGE(""https://docs.google.com/spreadsheets/d/1XWAQStnk-4SwqDmLtmXYiTMKHgktTP8We1SCoS47DrQ/edit?usp=sharing"",""จัดที่ดิน!AH65"")"),3)</f>
        <v>3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IFERROR(__xludf.DUMMYFUNCTION("IMPORTRANGE(""https://docs.google.com/spreadsheets/d/1QqKyyYR6Q21VydFLVH3TRQUabQu_ym0Zz7PgGX0-kHA/edit?usp=sharing"",""แผน!ET65"")"),100)</f>
        <v>100</v>
      </c>
      <c r="J378" s="269">
        <f ca="1">IFERROR(__xludf.DUMMYFUNCTION("IMPORTRANGE(""https://docs.google.com/spreadsheets/d/1XWAQStnk-4SwqDmLtmXYiTMKHgktTP8We1SCoS47DrQ/edit?usp=sharing"",""จัดที่ดิน!AI65"")"),28.23)</f>
        <v>28.23</v>
      </c>
      <c r="K378" s="497">
        <f t="shared" ca="1" si="64"/>
        <v>28.23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IFERROR(__xludf.DUMMYFUNCTION("IMPORTRANGE(""https://docs.google.com/spreadsheets/d/1QqKyyYR6Q21VydFLVH3TRQUabQu_ym0Zz7PgGX0-kHA/edit?usp=sharing"",""แผน!EU65"")"),65)</f>
        <v>65</v>
      </c>
      <c r="J379" s="269">
        <f ca="1">IFERROR(__xludf.DUMMYFUNCTION("IMPORTRANGE(""https://docs.google.com/spreadsheets/d/1XWAQStnk-4SwqDmLtmXYiTMKHgktTP8We1SCoS47DrQ/edit?usp=sharing"",""จัดที่ดิน!AJ65"")"),86)</f>
        <v>86</v>
      </c>
      <c r="K379" s="497">
        <f t="shared" ca="1" si="64"/>
        <v>132.30769230769232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IFERROR(__xludf.DUMMYFUNCTION("IMPORTRANGE(""https://docs.google.com/spreadsheets/d/1XWAQStnk-4SwqDmLtmXYiTMKHgktTP8We1SCoS47DrQ/edit?usp=sharing"",""จัดที่ดิน!AK65"")"),1351.43)</f>
        <v>1351.43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IFERROR(__xludf.DUMMYFUNCTION("IMPORTRANGE(""https://docs.google.com/spreadsheets/d/1QqKyyYR6Q21VydFLVH3TRQUabQu_ym0Zz7PgGX0-kHA/edit?usp=sharing"",""แผน!EU65"")"),65)</f>
        <v>65</v>
      </c>
      <c r="J381" s="269">
        <f ca="1">IFERROR(__xludf.DUMMYFUNCTION("IMPORTRANGE(""https://docs.google.com/spreadsheets/d/1XWAQStnk-4SwqDmLtmXYiTMKHgktTP8We1SCoS47DrQ/edit?usp=sharing"",""จัดที่ดิน!AL65"")"),85)</f>
        <v>85</v>
      </c>
      <c r="K381" s="497">
        <f t="shared" ca="1" si="64"/>
        <v>130.76923076923077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IFERROR(__xludf.DUMMYFUNCTION("IMPORTRANGE(""https://docs.google.com/spreadsheets/d/1XWAQStnk-4SwqDmLtmXYiTMKHgktTP8We1SCoS47DrQ/edit?usp=sharing"",""จัดที่ดิน!AM65"")"),1399.06)</f>
        <v>1399.06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IFERROR(__xludf.DUMMYFUNCTION("IMPORTRANGE(""https://docs.google.com/spreadsheets/d/1MeEWN-I1oV_STSDYn1IFDPWt_1FKiwhDph83XaGc0o0/edit?usp=sharing"",""งบพรบ!FG65"")"),0)</f>
        <v>0</v>
      </c>
      <c r="M394" s="92">
        <f ca="1">IFERROR(__xludf.DUMMYFUNCTION("IMPORTRANGE(""https://docs.google.com/spreadsheets/d/1MeEWN-I1oV_STSDYn1IFDPWt_1FKiwhDph83XaGc0o0/edit?usp=sharing"",""งบพรบ!FL65"")"),0)</f>
        <v>0</v>
      </c>
      <c r="N394" s="92">
        <f ca="1">IFERROR(__xludf.DUMMYFUNCTION("IMPORTRANGE(""https://docs.google.com/spreadsheets/d/1MeEWN-I1oV_STSDYn1IFDPWt_1FKiwhDph83XaGc0o0/edit?usp=sharing"",""งบพรบ!FN65"")"),0)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IFERROR(__xludf.DUMMYFUNCTION("IMPORTRANGE(""https://docs.google.com/spreadsheets/d/1MeEWN-I1oV_STSDYn1IFDPWt_1FKiwhDph83XaGc0o0/edit?usp=sharing"",""งบพรบ!FJ65"")"),0)</f>
        <v>0</v>
      </c>
      <c r="M397" s="92">
        <f ca="1">IFERROR(__xludf.DUMMYFUNCTION("IMPORTRANGE(""https://docs.google.com/spreadsheets/d/1MeEWN-I1oV_STSDYn1IFDPWt_1FKiwhDph83XaGc0o0/edit?usp=sharing"",""งบพรบ!FM65"")"),0)</f>
        <v>0</v>
      </c>
      <c r="N397" s="92">
        <f ca="1">IFERROR(__xludf.DUMMYFUNCTION("IMPORTRANGE(""https://docs.google.com/spreadsheets/d/1MeEWN-I1oV_STSDYn1IFDPWt_1FKiwhDph83XaGc0o0/edit?usp=sharing"",""งบพรบ!FO65"")"),0)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IFERROR(__xludf.DUMMYFUNCTION("IMPORTRANGE(""https://docs.google.com/spreadsheets/d/1MeEWN-I1oV_STSDYn1IFDPWt_1FKiwhDph83XaGc0o0/edit?usp=sharing"",""งบพรบ!FQ65"")"),0)</f>
        <v>0</v>
      </c>
      <c r="M407" s="92">
        <f ca="1">IFERROR(__xludf.DUMMYFUNCTION("IMPORTRANGE(""https://docs.google.com/spreadsheets/d/1MeEWN-I1oV_STSDYn1IFDPWt_1FKiwhDph83XaGc0o0/edit?usp=sharing"",""งบพรบ!FV65"")"),0)</f>
        <v>0</v>
      </c>
      <c r="N407" s="92">
        <f ca="1">IFERROR(__xludf.DUMMYFUNCTION("IMPORTRANGE(""https://docs.google.com/spreadsheets/d/1MeEWN-I1oV_STSDYn1IFDPWt_1FKiwhDph83XaGc0o0/edit?usp=sharing"",""งบพรบ!FX65"")"),0)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IFERROR(__xludf.DUMMYFUNCTION("IMPORTRANGE(""https://docs.google.com/spreadsheets/d/1MeEWN-I1oV_STSDYn1IFDPWt_1FKiwhDph83XaGc0o0/edit?usp=sharing"",""งบพรบ!FT65"")"),0)</f>
        <v>0</v>
      </c>
      <c r="M410" s="92">
        <f ca="1">IFERROR(__xludf.DUMMYFUNCTION("IMPORTRANGE(""https://docs.google.com/spreadsheets/d/1MeEWN-I1oV_STSDYn1IFDPWt_1FKiwhDph83XaGc0o0/edit?usp=sharing"",""งบพรบ!FW65"")"),0)</f>
        <v>0</v>
      </c>
      <c r="N410" s="92">
        <f ca="1">IFERROR(__xludf.DUMMYFUNCTION("IMPORTRANGE(""https://docs.google.com/spreadsheets/d/1MeEWN-I1oV_STSDYn1IFDPWt_1FKiwhDph83XaGc0o0/edit?usp=sharing"",""งบพรบ!FY65"")"),0)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493483</v>
      </c>
      <c r="M414" s="549">
        <f ca="1">M419+M444+M467+M502+M523+M544+M629+M655+M685+M737+M754+M770+M786+M805</f>
        <v>448045</v>
      </c>
      <c r="N414" s="549">
        <f>N419+N444+N467+N502+N523+N544+N629+N655+N685+N737+N754+N770+N786+N805</f>
        <v>448045</v>
      </c>
      <c r="O414" s="549">
        <f ca="1">IF(L414&gt;0,N414*100/L414,0)</f>
        <v>90.792387984996438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78660</v>
      </c>
      <c r="N419" s="154">
        <f>N420+N421</f>
        <v>78660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78660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78660</v>
      </c>
      <c r="N422" s="497">
        <f>N423+N424</f>
        <v>78660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IFERROR(__xludf.DUMMYFUNCTION("IMPORTRANGE(""https://docs.google.com/spreadsheets/d/1QqKyyYR6Q21VydFLVH3TRQUabQu_ym0Zz7PgGX0-kHA/edit?usp=sharing"",""แผน!EY65"")"),78660)</f>
        <v>78660</v>
      </c>
      <c r="M424" s="92">
        <f ca="1">L424</f>
        <v>78660</v>
      </c>
      <c r="N424" s="92">
        <f>N425+N426+N427+N428</f>
        <v>78660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19840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IFERROR(__xludf.DUMMYFUNCTION("IMPORTRANGE(""https://docs.google.com/spreadsheets/d/1QqKyyYR6Q21VydFLVH3TRQUabQu_ym0Zz7PgGX0-kHA/edit?usp=sharing"",""แผน!FE65"")"),0)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IFERROR(__xludf.DUMMYFUNCTION("IMPORTRANGE(""https://docs.google.com/spreadsheets/d/1QqKyyYR6Q21VydFLVH3TRQUabQu_ym0Zz7PgGX0-kHA/edit?usp=sharing"",""แผน!FG65"")"),2)</f>
        <v>2</v>
      </c>
      <c r="J440" s="214">
        <v>2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IFERROR(__xludf.DUMMYFUNCTION("IMPORTRANGE(""https://docs.google.com/spreadsheets/d/1QqKyyYR6Q21VydFLVH3TRQUabQu_ym0Zz7PgGX0-kHA/edit?usp=sharing"",""แผน!FH65"")"),0)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IFERROR(__xludf.DUMMYFUNCTION("IMPORTRANGE(""https://docs.google.com/spreadsheets/d/1QqKyyYR6Q21VydFLVH3TRQUabQu_ym0Zz7PgGX0-kHA/edit?usp=sharing"",""แผน!FJ65"")"),0)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IFERROR(__xludf.DUMMYFUNCTION("IMPORTRANGE(""https://docs.google.com/spreadsheets/d/1QqKyyYR6Q21VydFLVH3TRQUabQu_ym0Zz7PgGX0-kHA/edit?usp=sharing"",""แผน!FN65"")"),0)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IFERROR(__xludf.DUMMYFUNCTION("IMPORTRANGE(""https://docs.google.com/spreadsheets/d/1QqKyyYR6Q21VydFLVH3TRQUabQu_ym0Zz7PgGX0-kHA/edit?usp=sharing"",""แผน!FO65"")"),0)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IFERROR(__xludf.DUMMYFUNCTION("IMPORTRANGE(""https://docs.google.com/spreadsheets/d/1QqKyyYR6Q21VydFLVH3TRQUabQu_ym0Zz7PgGX0-kHA/edit?usp=sharing"",""แผน!FO65"")"),0)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IFERROR(__xludf.DUMMYFUNCTION("IMPORTRANGE(""https://docs.google.com/spreadsheets/d/1QqKyyYR6Q21VydFLVH3TRQUabQu_ym0Zz7PgGX0-kHA/edit?usp=sharing"",""แผน!FN65"")"),0)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174403</v>
      </c>
      <c r="M467" s="194">
        <f ca="1">M468+M469</f>
        <v>147518</v>
      </c>
      <c r="N467" s="194">
        <f>N468+N469</f>
        <v>147518</v>
      </c>
      <c r="O467" s="194">
        <f t="shared" ref="O467:O472" ca="1" si="78">IF(L467&gt;0,N467*100/L467,0)</f>
        <v>84.584554164779277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174403</v>
      </c>
      <c r="M469" s="92">
        <f t="shared" ca="1" si="80"/>
        <v>147518</v>
      </c>
      <c r="N469" s="92">
        <f t="shared" si="80"/>
        <v>147518</v>
      </c>
      <c r="O469" s="92">
        <f t="shared" ca="1" si="78"/>
        <v>84.584554164779277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174403</v>
      </c>
      <c r="M470" s="497">
        <f ca="1">M471+M472</f>
        <v>147518</v>
      </c>
      <c r="N470" s="497">
        <f>N471+N472</f>
        <v>147518</v>
      </c>
      <c r="O470" s="497">
        <f t="shared" ca="1" si="78"/>
        <v>84.584554164779277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IFERROR(__xludf.DUMMYFUNCTION("IMPORTRANGE(""https://docs.google.com/spreadsheets/d/1QqKyyYR6Q21VydFLVH3TRQUabQu_ym0Zz7PgGX0-kHA/edit?usp=sharing"",""แผน!FS65"")"),174403)</f>
        <v>174403</v>
      </c>
      <c r="M472" s="92">
        <f ca="1">L472+5430-32315</f>
        <v>147518</v>
      </c>
      <c r="N472" s="92">
        <f>N473+N474+N475+N476</f>
        <v>147518</v>
      </c>
      <c r="O472" s="92">
        <f t="shared" ca="1" si="78"/>
        <v>84.584554164779277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99210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22605+800</f>
        <v>23405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IFERROR(__xludf.DUMMYFUNCTION("IMPORTRANGE(""https://docs.google.com/spreadsheets/d/1QqKyyYR6Q21VydFLVH3TRQUabQu_ym0Zz7PgGX0-kHA/edit?usp=sharing"",""แผน!FY65"")"),180)</f>
        <v>180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IFERROR(__xludf.DUMMYFUNCTION("IMPORTRANGE(""https://docs.google.com/spreadsheets/d/1QqKyyYR6Q21VydFLVH3TRQUabQu_ym0Zz7PgGX0-kHA/edit?usp=sharing"",""แผน!FZ65"")"),18)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IFERROR(__xludf.DUMMYFUNCTION("IMPORTRANGE(""https://docs.google.com/spreadsheets/d/1QqKyyYR6Q21VydFLVH3TRQUabQu_ym0Zz7PgGX0-kHA/edit?usp=sharing"",""แผน!GA65"")"),20)</f>
        <v>20</v>
      </c>
      <c r="J487" s="214"/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IFERROR(__xludf.DUMMYFUNCTION("IMPORTRANGE(""https://docs.google.com/spreadsheets/d/1QqKyyYR6Q21VydFLVH3TRQUabQu_ym0Zz7PgGX0-kHA/edit?usp=sharing"",""แผน!GB65"")"),2)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IFERROR(__xludf.DUMMYFUNCTION("IMPORTRANGE(""https://docs.google.com/spreadsheets/d/1QqKyyYR6Q21VydFLVH3TRQUabQu_ym0Zz7PgGX0-kHA/edit?usp=sharing"",""แผน!GC65"")"),1)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IFERROR(__xludf.DUMMYFUNCTION("IMPORTRANGE(""https://docs.google.com/spreadsheets/d/1QqKyyYR6Q21VydFLVH3TRQUabQu_ym0Zz7PgGX0-kHA/edit?usp=sharing"",""แผน!FY65"")"),180)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IFERROR(__xludf.DUMMYFUNCTION("IMPORTRANGE(""https://docs.google.com/spreadsheets/d/1QqKyyYR6Q21VydFLVH3TRQUabQu_ym0Zz7PgGX0-kHA/edit?usp=sharing"",""แผน!GA65"")"),20)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IFERROR(__xludf.DUMMYFUNCTION("IMPORTRANGE(""https://docs.google.com/spreadsheets/d/1QqKyyYR6Q21VydFLVH3TRQUabQu_ym0Zz7PgGX0-kHA/edit?usp=sharing"",""แผน!GQ65"")"),0)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IFERROR(__xludf.DUMMYFUNCTION("IMPORTRANGE(""https://docs.google.com/spreadsheets/d/1QqKyyYR6Q21VydFLVH3TRQUabQu_ym0Zz7PgGX0-kHA/edit?usp=sharing"",""แผน!GV65"")"),0)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IFERROR(__xludf.DUMMYFUNCTION("IMPORTRANGE(""https://docs.google.com/spreadsheets/d/1QqKyyYR6Q21VydFLVH3TRQUabQu_ym0Zz7PgGX0-kHA/edit?usp=sharing"",""แผน!GW65"")"),0)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IFERROR(__xludf.DUMMYFUNCTION("IMPORTRANGE(""https://docs.google.com/spreadsheets/d/1QqKyyYR6Q21VydFLVH3TRQUabQu_ym0Zz7PgGX0-kHA/edit?usp=sharing"",""แผน!GX65"")"),0)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IFERROR(__xludf.DUMMYFUNCTION("IMPORTRANGE(""https://docs.google.com/spreadsheets/d/1QqKyyYR6Q21VydFLVH3TRQUabQu_ym0Zz7PgGX0-kHA/edit?usp=sharing"",""แผน!GY65"")"),0)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IFERROR(__xludf.DUMMYFUNCTION("IMPORTRANGE(""https://docs.google.com/spreadsheets/d/1QqKyyYR6Q21VydFLVH3TRQUabQu_ym0Zz7PgGX0-kHA/edit?usp=sharing"",""แผน!GZ65"")"),0)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218300</v>
      </c>
      <c r="M544" s="154">
        <f ca="1">M545+M546</f>
        <v>217867</v>
      </c>
      <c r="N544" s="154">
        <f>N545+N546</f>
        <v>217867</v>
      </c>
      <c r="O544" s="154">
        <f t="shared" ref="O544:O549" ca="1" si="88">IF(L544&gt;0,N544*100/L544,0)</f>
        <v>99.801649106733848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218300</v>
      </c>
      <c r="M546" s="92">
        <f ca="1">M549+M556</f>
        <v>217867</v>
      </c>
      <c r="N546" s="92">
        <f>N549+N556</f>
        <v>217867</v>
      </c>
      <c r="O546" s="92">
        <f t="shared" ca="1" si="88"/>
        <v>99.801649106733848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218300</v>
      </c>
      <c r="M547" s="497">
        <f ca="1">M548+M549</f>
        <v>217867</v>
      </c>
      <c r="N547" s="497">
        <f>N548+N549</f>
        <v>217867</v>
      </c>
      <c r="O547" s="497">
        <f t="shared" ca="1" si="88"/>
        <v>99.801649106733848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IFERROR(__xludf.DUMMYFUNCTION("IMPORTRANGE(""https://docs.google.com/spreadsheets/d/1QqKyyYR6Q21VydFLVH3TRQUabQu_ym0Zz7PgGX0-kHA/edit?usp=sharing"",""แผน!HB65"")"),218300)</f>
        <v>218300</v>
      </c>
      <c r="M549" s="92">
        <f ca="1">L549-433</f>
        <v>217867</v>
      </c>
      <c r="N549" s="92">
        <f>N550+N551+N552+N553+N554</f>
        <v>217867</v>
      </c>
      <c r="O549" s="92">
        <f t="shared" ca="1" si="88"/>
        <v>99.801649106733848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142567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75300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IFERROR(__xludf.DUMMYFUNCTION("IMPORTRANGE(""https://docs.google.com/spreadsheets/d/1QqKyyYR6Q21VydFLVH3TRQUabQu_ym0Zz7PgGX0-kHA/edit?usp=sharing"",""แผน!HH65"")"),0)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IFERROR(__xludf.DUMMYFUNCTION("IMPORTRANGE(""https://docs.google.com/spreadsheets/d/1QqKyyYR6Q21VydFLVH3TRQUabQu_ym0Zz7PgGX0-kHA/edit?usp=sharing"",""แผน!HG65"")"),0)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IFERROR(__xludf.DUMMYFUNCTION("IMPORTRANGE(""https://docs.google.com/spreadsheets/d/1QqKyyYR6Q21VydFLVH3TRQUabQu_ym0Zz7PgGX0-kHA/edit?usp=sharing"",""แผน!HH65"")"),0)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IFERROR(__xludf.DUMMYFUNCTION("IMPORTRANGE(""https://docs.google.com/spreadsheets/d/1QqKyyYR6Q21VydFLVH3TRQUabQu_ym0Zz7PgGX0-kHA/edit?usp=sharing"",""แผน!HG65"")"),0)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IFERROR(__xludf.DUMMYFUNCTION("IMPORTRANGE(""https://docs.google.com/spreadsheets/d/1QqKyyYR6Q21VydFLVH3TRQUabQu_ym0Zz7PgGX0-kHA/edit?usp=sharing"",""แผน!HH65"")"),0)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IFERROR(__xludf.DUMMYFUNCTION("IMPORTRANGE(""https://docs.google.com/spreadsheets/d/1QqKyyYR6Q21VydFLVH3TRQUabQu_ym0Zz7PgGX0-kHA/edit?usp=sharing"",""แผน!HG65"")"),0)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189.09</v>
      </c>
      <c r="J592" s="703">
        <f>J593</f>
        <v>189.08750000000001</v>
      </c>
      <c r="K592" s="672">
        <f ca="1">IF(I592&gt;0,J592*100/I592,0)</f>
        <v>99.998677878259031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2">
        <f>J595+J603+J609</f>
        <v>189.08750000000001</v>
      </c>
      <c r="K593" s="410">
        <f ca="1">IF(I593&gt;0,J593*100/I593,0)</f>
        <v>99.998677878259031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IFERROR(__xludf.DUMMYFUNCTION("IMPORTRANGE(""https://docs.google.com/spreadsheets/d/1QqKyyYR6Q21VydFLVH3TRQUabQu_ym0Zz7PgGX0-kHA/edit?usp=sharing"",""แผน!HI65"")"),21)</f>
        <v>21</v>
      </c>
      <c r="J594" s="192">
        <f>J596+J604+J610</f>
        <v>21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187.29750000000001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20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177.29750000000001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19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10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1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1.79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882">
        <v>1.79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IFERROR(__xludf.DUMMYFUNCTION("IMPORTRANGE(""https://docs.google.com/spreadsheets/d/1QqKyyYR6Q21VydFLVH3TRQUabQu_ym0Zz7PgGX0-kHA/edit?usp=sharing"",""แผน!HN65"")"),0)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IFERROR(__xludf.DUMMYFUNCTION("IMPORTRANGE(""https://docs.google.com/spreadsheets/d/1QqKyyYR6Q21VydFLVH3TRQUabQu_ym0Zz7PgGX0-kHA/edit?usp=sharing"",""แผน!HR65"")"),0)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IFERROR(__xludf.DUMMYFUNCTION("IMPORTRANGE(""https://docs.google.com/spreadsheets/d/1XWAQStnk-4SwqDmLtmXYiTMKHgktTP8We1SCoS47DrQ/edit?usp=sharing"",""จัดที่ดิน!AS65"")"),0)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IFERROR(__xludf.DUMMYFUNCTION("IMPORTRANGE(""https://docs.google.com/spreadsheets/d/1QqKyyYR6Q21VydFLVH3TRQUabQu_ym0Zz7PgGX0-kHA/edit?usp=sharing"",""แผน!HS65"")"),0)</f>
        <v>0</v>
      </c>
      <c r="J647" s="269">
        <f ca="1">IFERROR(__xludf.DUMMYFUNCTION("IMPORTRANGE(""https://docs.google.com/spreadsheets/d/1XWAQStnk-4SwqDmLtmXYiTMKHgktTP8We1SCoS47DrQ/edit?usp=sharing"",""จัดที่ดิน!AU65"")"),0)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IFERROR(__xludf.DUMMYFUNCTION("IMPORTRANGE(""https://docs.google.com/spreadsheets/d/1QqKyyYR6Q21VydFLVH3TRQUabQu_ym0Zz7PgGX0-kHA/edit?usp=sharing"",""แผน!HS65"")"),0)</f>
        <v>0</v>
      </c>
      <c r="J649" s="269">
        <f ca="1">IFERROR(__xludf.DUMMYFUNCTION("IMPORTRANGE(""https://docs.google.com/spreadsheets/d/1XWAQStnk-4SwqDmLtmXYiTMKHgktTP8We1SCoS47DrQ/edit?usp=sharing"",""จัดที่ดิน!AW65"")"),0)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IFERROR(__xludf.DUMMYFUNCTION("IMPORTRANGE(""https://docs.google.com/spreadsheets/d/1QqKyyYR6Q21VydFLVH3TRQUabQu_ym0Zz7PgGX0-kHA/edit?usp=sharing"",""แผน!HS65"")"),0)</f>
        <v>0</v>
      </c>
      <c r="J651" s="269">
        <f ca="1">IFERROR(__xludf.DUMMYFUNCTION("IMPORTRANGE(""https://docs.google.com/spreadsheets/d/1XWAQStnk-4SwqDmLtmXYiTMKHgktTP8We1SCoS47DrQ/edit?usp=sharing"",""จัดที่ดิน!AY65"")"),0)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4000</v>
      </c>
      <c r="N655" s="194">
        <f>N656+N657</f>
        <v>4000</v>
      </c>
      <c r="O655" s="194">
        <f t="shared" ref="O655:O660" ca="1" si="94">IF(L655&gt;0,N655*100/L655,0)</f>
        <v>42.553191489361701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4000</v>
      </c>
      <c r="N657" s="92">
        <f t="shared" si="96"/>
        <v>4000</v>
      </c>
      <c r="O657" s="92">
        <f t="shared" ca="1" si="94"/>
        <v>42.553191489361701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4000</v>
      </c>
      <c r="N658" s="497">
        <f>N659+N660</f>
        <v>4000</v>
      </c>
      <c r="O658" s="497">
        <f t="shared" ca="1" si="94"/>
        <v>42.553191489361701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IFERROR(__xludf.DUMMYFUNCTION("IMPORTRANGE(""https://docs.google.com/spreadsheets/d/1QqKyyYR6Q21VydFLVH3TRQUabQu_ym0Zz7PgGX0-kHA/edit?usp=sharing"",""แผน!HV65"")"),9400)</f>
        <v>9400</v>
      </c>
      <c r="M660" s="92">
        <f ca="1">L660-5400</f>
        <v>4000</v>
      </c>
      <c r="N660" s="92">
        <f>N661+N662+N663+N664</f>
        <v>4000</v>
      </c>
      <c r="O660" s="92">
        <f t="shared" ca="1" si="94"/>
        <v>42.553191489361701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IFERROR(__xludf.DUMMYFUNCTION("IMPORTRANGE(""https://docs.google.com/spreadsheets/d/1QqKyyYR6Q21VydFLVH3TRQUabQu_ym0Zz7PgGX0-kHA/edit?usp=sharing"",""แผน!HZ65"")"),4)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IFERROR(__xludf.DUMMYFUNCTION("IMPORTRANGE(""https://docs.google.com/spreadsheets/d/1QqKyyYR6Q21VydFLVH3TRQUabQu_ym0Zz7PgGX0-kHA/edit?usp=sharing"",""แผน!HZ65"")"),4)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12720</v>
      </c>
      <c r="M685" s="194">
        <f ca="1">M686+M687</f>
        <v>0</v>
      </c>
      <c r="N685" s="194">
        <f>N686+N687</f>
        <v>0</v>
      </c>
      <c r="O685" s="194">
        <f ca="1">IF(L685&gt;0,N685*100/L685,0)</f>
        <v>0</v>
      </c>
      <c r="P685" s="194">
        <f ca="1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12720</v>
      </c>
      <c r="M687" s="92">
        <f t="shared" ca="1" si="97"/>
        <v>0</v>
      </c>
      <c r="N687" s="92">
        <f t="shared" si="97"/>
        <v>0</v>
      </c>
      <c r="O687" s="92">
        <f ca="1">IF(L687&gt;0,N687*100/L687,0)</f>
        <v>0</v>
      </c>
      <c r="P687" s="92">
        <f ca="1"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12720</v>
      </c>
      <c r="M688" s="497">
        <f ca="1">M689+M690</f>
        <v>0</v>
      </c>
      <c r="N688" s="497">
        <f>N689+N690</f>
        <v>0</v>
      </c>
      <c r="O688" s="497">
        <f ca="1">IF(L688&gt;0,N688*100/L688,0)</f>
        <v>0</v>
      </c>
      <c r="P688" s="497">
        <f ca="1"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IFERROR(__xludf.DUMMYFUNCTION("IMPORTRANGE(""https://docs.google.com/spreadsheets/d/1QqKyyYR6Q21VydFLVH3TRQUabQu_ym0Zz7PgGX0-kHA/edit?usp=sharing"",""แผน!HW65"")"),12720)</f>
        <v>12720</v>
      </c>
      <c r="M690" s="92">
        <f ca="1">L690-12720</f>
        <v>0</v>
      </c>
      <c r="N690" s="92">
        <f>N691+N692+N693+N694</f>
        <v>0</v>
      </c>
      <c r="O690" s="92">
        <f ca="1">IF(L690&gt;0,N690*100/L690,0)</f>
        <v>0</v>
      </c>
      <c r="P690" s="92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69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69">
        <f ca="1">IFERROR(__xludf.DUMMYFUNCTION("IMPORTRANGE(""https://docs.google.com/spreadsheets/d/1XWAQStnk-4SwqDmLtmXYiTMKHgktTP8We1SCoS47DrQ/edit?usp=sharing"",""จัดที่ดิน!BD65"")"),7)</f>
        <v>7</v>
      </c>
      <c r="K700" s="497">
        <f ca="1">IF(I700&gt;0,J700*100/I700,0)</f>
        <v>20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437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32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46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32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46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4">
        <v>437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69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1</v>
      </c>
      <c r="K721" s="194">
        <f ca="1">IF(I721&gt;0,J721*100/I721,0)</f>
        <v>6.25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13.895</v>
      </c>
      <c r="K722" s="194">
        <f ca="1">IF(I722&gt;0,J722*100/I722,0)</f>
        <v>6.203125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69">
        <f ca="1">IFERROR(__xludf.DUMMYFUNCTION("IMPORTRANGE(""https://docs.google.com/spreadsheets/d/1XWAQStnk-4SwqDmLtmXYiTMKHgktTP8We1SCoS47DrQ/edit?usp=sharing"",""จัดที่ดิน!BM65"")"),1)</f>
        <v>1</v>
      </c>
      <c r="K723" s="497">
        <f ca="1">IF(I723&gt;0,J723*100/I723,0)</f>
        <v>8.3333333333333339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IFERROR(__xludf.DUMMYFUNCTION("IMPORTRANGE(""https://docs.google.com/spreadsheets/d/1XWAQStnk-4SwqDmLtmXYiTMKHgktTP8We1SCoS47DrQ/edit?usp=sharing"",""จัดที่ดิน!BN65"")"),3)</f>
        <v>3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69">
        <f ca="1">IFERROR(__xludf.DUMMYFUNCTION("IMPORTRANGE(""https://docs.google.com/spreadsheets/d/1XWAQStnk-4SwqDmLtmXYiTMKHgktTP8We1SCoS47DrQ/edit?usp=sharing"",""จัดที่ดิน!BO65"")"),13.895)</f>
        <v>13.895</v>
      </c>
      <c r="K725" s="497">
        <f ca="1">IF(I725&gt;0,J725*100/I725,0)</f>
        <v>8.2708333333333339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69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69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IFERROR(__xludf.DUMMYFUNCTION("IMPORTRANGE(""https://docs.google.com/spreadsheets/d/1QqKyyYR6Q21VydFLVH3TRQUabQu_ym0Zz7PgGX0-kHA/edit?usp=sharing"",""แผน!JN65"")"),0)</f>
        <v>0</v>
      </c>
      <c r="J800" s="183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69">
        <f ca="1">IFERROR(__xludf.DUMMYFUNCTION("IMPORTRANGE(""https://docs.google.com/spreadsheets/d/19vJNZY_5yjcGF2XGBMNZRCAIB0Kwfpjp8YEOfu-bneM/edit?usp=sharing"",""งานกองทุน!F65"")"),1173046.12)</f>
        <v>1173046.1200000001</v>
      </c>
      <c r="K821" s="497">
        <f t="shared" ref="K821:K828" ca="1" si="113">IF(I821&gt;0,J821*100/I821,0)</f>
        <v>95.962499362422577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IFERROR(__xludf.DUMMYFUNCTION("IMPORTRANGE(""https://docs.google.com/spreadsheets/d/19vJNZY_5yjcGF2XGBMNZRCAIB0Kwfpjp8YEOfu-bneM/edit?usp=sharing"",""งานกองทุน!C65"")"),95)</f>
        <v>95</v>
      </c>
      <c r="J822" s="269">
        <f ca="1">IFERROR(__xludf.DUMMYFUNCTION("IMPORTRANGE(""https://docs.google.com/spreadsheets/d/19vJNZY_5yjcGF2XGBMNZRCAIB0Kwfpjp8YEOfu-bneM/edit?usp=sharing"",""งานกองทุน!E65"")"),90)</f>
        <v>90</v>
      </c>
      <c r="K822" s="497">
        <f t="shared" ca="1" si="113"/>
        <v>94.736842105263165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69">
        <f ca="1">IFERROR(__xludf.DUMMYFUNCTION("IMPORTRANGE(""https://docs.google.com/spreadsheets/d/19vJNZY_5yjcGF2XGBMNZRCAIB0Kwfpjp8YEOfu-bneM/edit?usp=sharing"",""งานกองทุน!K65"")"),203192.79)</f>
        <v>203192.79</v>
      </c>
      <c r="K823" s="497">
        <f t="shared" ca="1" si="113"/>
        <v>50.602990140160564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IFERROR(__xludf.DUMMYFUNCTION("IMPORTRANGE(""https://docs.google.com/spreadsheets/d/19vJNZY_5yjcGF2XGBMNZRCAIB0Kwfpjp8YEOfu-bneM/edit?usp=sharing"",""งานกองทุน!H65"")"),21)</f>
        <v>21</v>
      </c>
      <c r="J824" s="269">
        <f ca="1">IFERROR(__xludf.DUMMYFUNCTION("IMPORTRANGE(""https://docs.google.com/spreadsheets/d/19vJNZY_5yjcGF2XGBMNZRCAIB0Kwfpjp8YEOfu-bneM/edit?usp=sharing"",""งานกองทุน!J65"")"),16)</f>
        <v>16</v>
      </c>
      <c r="K824" s="497">
        <f t="shared" ca="1" si="113"/>
        <v>76.19047619047619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IFERROR(__xludf.DUMMYFUNCTION("IMPORTRANGE(""https://docs.google.com/spreadsheets/d/19vJNZY_5yjcGF2XGBMNZRCAIB0Kwfpjp8YEOfu-bneM/edit?usp=sharing"",""งานกองทุน!N65"")"),1118.75)</f>
        <v>1118.75</v>
      </c>
      <c r="J825" s="269">
        <f ca="1">IFERROR(__xludf.DUMMYFUNCTION("IMPORTRANGE(""https://docs.google.com/spreadsheets/d/19vJNZY_5yjcGF2XGBMNZRCAIB0Kwfpjp8YEOfu-bneM/edit?usp=sharing"",""งานกองทุน!P65"")"),1328.75)</f>
        <v>1328.75</v>
      </c>
      <c r="K825" s="497">
        <f t="shared" ca="1" si="113"/>
        <v>118.77094972067039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IFERROR(__xludf.DUMMYFUNCTION("IMPORTRANGE(""https://docs.google.com/spreadsheets/d/19vJNZY_5yjcGF2XGBMNZRCAIB0Kwfpjp8YEOfu-bneM/edit?usp=sharing"",""งานกองทุน!M65"")"),1)</f>
        <v>1</v>
      </c>
      <c r="J826" s="269">
        <f ca="1">IFERROR(__xludf.DUMMYFUNCTION("IMPORTRANGE(""https://docs.google.com/spreadsheets/d/19vJNZY_5yjcGF2XGBMNZRCAIB0Kwfpjp8YEOfu-bneM/edit?usp=sharing"",""งานกองทุน!O65"")"),2)</f>
        <v>2</v>
      </c>
      <c r="K826" s="497">
        <f t="shared" ca="1" si="113"/>
        <v>200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IFERROR(__xludf.DUMMYFUNCTION("IMPORTRANGE(""https://docs.google.com/spreadsheets/d/19vJNZY_5yjcGF2XGBMNZRCAIB0Kwfpjp8YEOfu-bneM/edit?usp=sharing"",""งานกองทุน!S65"")"),1000000)</f>
        <v>1000000</v>
      </c>
      <c r="J827" s="269">
        <f ca="1">IFERROR(__xludf.DUMMYFUNCTION("IMPORTRANGE(""https://docs.google.com/spreadsheets/d/19vJNZY_5yjcGF2XGBMNZRCAIB0Kwfpjp8YEOfu-bneM/edit?usp=sharing"",""งานกองทุน!U65"")"),1000000)</f>
        <v>1000000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IFERROR(__xludf.DUMMYFUNCTION("IMPORTRANGE(""https://docs.google.com/spreadsheets/d/19vJNZY_5yjcGF2XGBMNZRCAIB0Kwfpjp8YEOfu-bneM/edit?usp=sharing"",""งานกองทุน!T65"")"),28)</f>
        <v>28</v>
      </c>
      <c r="K828" s="502">
        <f t="shared" ca="1" si="113"/>
        <v>77.777777777777771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F1BA-87EA-45EB-A296-2B2744E20650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355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3101125</v>
      </c>
      <c r="M8" s="21">
        <f ca="1">M9+M10</f>
        <v>3155356</v>
      </c>
      <c r="N8" s="21">
        <f ca="1">N9+N10</f>
        <v>3155356</v>
      </c>
      <c r="O8" s="21">
        <f t="shared" ref="O8:O16" ca="1" si="0">IF(L8&gt;0,N8*100/L8,0)</f>
        <v>101.74875246886211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3101125</v>
      </c>
      <c r="M10" s="29">
        <f t="shared" ca="1" si="2"/>
        <v>3155356</v>
      </c>
      <c r="N10" s="29">
        <f t="shared" ca="1" si="2"/>
        <v>3155356</v>
      </c>
      <c r="O10" s="29">
        <f t="shared" ca="1" si="0"/>
        <v>101.74875246886211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2888925</v>
      </c>
      <c r="M11" s="497">
        <f ca="1">M12+M13</f>
        <v>2943156</v>
      </c>
      <c r="N11" s="497">
        <f ca="1">N12+N13</f>
        <v>2943156</v>
      </c>
      <c r="O11" s="497">
        <f t="shared" ca="1" si="0"/>
        <v>101.87720345803369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2888925</v>
      </c>
      <c r="M13" s="92">
        <f t="shared" ca="1" si="3"/>
        <v>2943156</v>
      </c>
      <c r="N13" s="92">
        <f t="shared" ca="1" si="3"/>
        <v>2943156</v>
      </c>
      <c r="O13" s="92">
        <f t="shared" ca="1" si="0"/>
        <v>101.87720345803369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212200</v>
      </c>
      <c r="M14" s="497">
        <f ca="1">M15+M16</f>
        <v>212200</v>
      </c>
      <c r="N14" s="497">
        <f ca="1">N15+N16</f>
        <v>212200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212200</v>
      </c>
      <c r="M16" s="51">
        <f t="shared" ca="1" si="4"/>
        <v>212200</v>
      </c>
      <c r="N16" s="51">
        <f t="shared" ca="1" si="4"/>
        <v>212200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2270472</v>
      </c>
      <c r="M18" s="21">
        <f ca="1">M19+M20</f>
        <v>2425039</v>
      </c>
      <c r="N18" s="21">
        <f ca="1">N19+N20</f>
        <v>2425039</v>
      </c>
      <c r="O18" s="21">
        <f t="shared" ref="O18:O26" ca="1" si="5">IF(L18&gt;0,N18*100/L18,0)</f>
        <v>106.80770342025799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2270472</v>
      </c>
      <c r="M20" s="29">
        <f t="shared" ca="1" si="7"/>
        <v>2425039</v>
      </c>
      <c r="N20" s="29">
        <f t="shared" ca="1" si="7"/>
        <v>2425039</v>
      </c>
      <c r="O20" s="29">
        <f t="shared" ca="1" si="5"/>
        <v>106.80770342025799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2058272</v>
      </c>
      <c r="M21" s="497">
        <f ca="1">M22+M23</f>
        <v>2212839</v>
      </c>
      <c r="N21" s="497">
        <f ca="1">N22+N23</f>
        <v>2212839</v>
      </c>
      <c r="O21" s="497">
        <f t="shared" ca="1" si="5"/>
        <v>107.50955170162156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2058272</v>
      </c>
      <c r="M23" s="92">
        <f t="shared" ca="1" si="8"/>
        <v>2212839</v>
      </c>
      <c r="N23" s="92">
        <f t="shared" ca="1" si="8"/>
        <v>2212839</v>
      </c>
      <c r="O23" s="92">
        <f t="shared" ca="1" si="5"/>
        <v>107.50955170162156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212200</v>
      </c>
      <c r="M24" s="497">
        <f ca="1">M25+M26</f>
        <v>212200</v>
      </c>
      <c r="N24" s="497">
        <f ca="1">N25+N26</f>
        <v>212200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212200</v>
      </c>
      <c r="M26" s="51">
        <f t="shared" ca="1" si="9"/>
        <v>212200</v>
      </c>
      <c r="N26" s="51">
        <f t="shared" ca="1" si="9"/>
        <v>212200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830653</v>
      </c>
      <c r="M28" s="21">
        <f ca="1">M29+M30</f>
        <v>730317</v>
      </c>
      <c r="N28" s="21">
        <f>N29+N30</f>
        <v>730317</v>
      </c>
      <c r="O28" s="21">
        <f t="shared" ref="O28:O37" ca="1" si="10">IF(L28&gt;0,N28*100/L28,0)</f>
        <v>87.92082855295773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830653</v>
      </c>
      <c r="M30" s="29">
        <f t="shared" ca="1" si="12"/>
        <v>730317</v>
      </c>
      <c r="N30" s="29">
        <f t="shared" si="12"/>
        <v>730317</v>
      </c>
      <c r="O30" s="29">
        <f t="shared" ca="1" si="10"/>
        <v>87.92082855295773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830653</v>
      </c>
      <c r="M31" s="497">
        <f ca="1">M32+M33</f>
        <v>730317</v>
      </c>
      <c r="N31" s="497">
        <f>N32+N33</f>
        <v>730317</v>
      </c>
      <c r="O31" s="497">
        <f t="shared" ca="1" si="10"/>
        <v>87.92082855295773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830653</v>
      </c>
      <c r="M33" s="92">
        <f t="shared" ca="1" si="13"/>
        <v>730317</v>
      </c>
      <c r="N33" s="92">
        <f t="shared" si="13"/>
        <v>730317</v>
      </c>
      <c r="O33" s="92">
        <f t="shared" ca="1" si="10"/>
        <v>87.92082855295773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2270472</v>
      </c>
      <c r="M37" s="58">
        <f ca="1">M41+M53+M66+M88+M119+M132+M149+M165+M181+M261+M277+M298+M315+M328+M345+M389+M402</f>
        <v>2425039</v>
      </c>
      <c r="N37" s="58">
        <f ca="1">N41+N53+N66+N88+N119+N132+N149+N165+N181+N261+N277+N298+N315+N328+N345+N389+N402</f>
        <v>2425039</v>
      </c>
      <c r="O37" s="58">
        <f t="shared" ca="1" si="10"/>
        <v>106.80770342025799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328042</v>
      </c>
      <c r="M41" s="84">
        <f ca="1">M42+M43</f>
        <v>297999</v>
      </c>
      <c r="N41" s="84">
        <f ca="1">N42+N43</f>
        <v>297999</v>
      </c>
      <c r="O41" s="84">
        <f t="shared" ref="O41:O49" ca="1" si="15">IF(L41&gt;0,N41*100/L41,0)</f>
        <v>90.841721486882776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328042</v>
      </c>
      <c r="M43" s="91">
        <f t="shared" ca="1" si="17"/>
        <v>297999</v>
      </c>
      <c r="N43" s="91">
        <f t="shared" ca="1" si="17"/>
        <v>297999</v>
      </c>
      <c r="O43" s="91">
        <f t="shared" ca="1" si="15"/>
        <v>90.841721486882776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328042</v>
      </c>
      <c r="M44" s="497">
        <f ca="1">M45+M46</f>
        <v>297999</v>
      </c>
      <c r="N44" s="497">
        <f ca="1">N45+N46</f>
        <v>297999</v>
      </c>
      <c r="O44" s="497">
        <f t="shared" ca="1" si="15"/>
        <v>90.841721486882776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IFERROR(__xludf.DUMMYFUNCTION("IMPORTRANGE(""https://docs.google.com/spreadsheets/d/1MeEWN-I1oV_STSDYn1IFDPWt_1FKiwhDph83XaGc0o0/edit?usp=sharing"",""งบพรบ!M66"")"),328042)</f>
        <v>328042</v>
      </c>
      <c r="M46" s="92">
        <f ca="1">IFERROR(__xludf.DUMMYFUNCTION("IMPORTRANGE(""https://docs.google.com/spreadsheets/d/1MeEWN-I1oV_STSDYn1IFDPWt_1FKiwhDph83XaGc0o0/edit?usp=sharing"",""งบพรบ!R66"")"),297999)</f>
        <v>297999</v>
      </c>
      <c r="N46" s="92">
        <f ca="1">IFERROR(__xludf.DUMMYFUNCTION("IMPORTRANGE(""https://docs.google.com/spreadsheets/d/1MeEWN-I1oV_STSDYn1IFDPWt_1FKiwhDph83XaGc0o0/edit?usp=sharing"",""งบพรบ!T66"")"),297999)</f>
        <v>297999</v>
      </c>
      <c r="O46" s="92">
        <f t="shared" ca="1" si="15"/>
        <v>90.841721486882776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IFERROR(__xludf.DUMMYFUNCTION("IMPORTRANGE(""https://docs.google.com/spreadsheets/d/1MeEWN-I1oV_STSDYn1IFDPWt_1FKiwhDph83XaGc0o0/edit?usp=sharing"",""งบพรบ!P66"")"),0)</f>
        <v>0</v>
      </c>
      <c r="M49" s="51">
        <f ca="1">IFERROR(__xludf.DUMMYFUNCTION("IMPORTRANGE(""https://docs.google.com/spreadsheets/d/1MeEWN-I1oV_STSDYn1IFDPWt_1FKiwhDph83XaGc0o0/edit?usp=sharing"",""งบพรบ!S66"")"),0)</f>
        <v>0</v>
      </c>
      <c r="N49" s="51">
        <f ca="1">IFERROR(__xludf.DUMMYFUNCTION("IMPORTRANGE(""https://docs.google.com/spreadsheets/d/1MeEWN-I1oV_STSDYn1IFDPWt_1FKiwhDph83XaGc0o0/edit?usp=sharing"",""งบพรบ!U66"")"),0)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317400</v>
      </c>
      <c r="M53" s="115">
        <f ca="1">M54+M55</f>
        <v>332400</v>
      </c>
      <c r="N53" s="115">
        <f ca="1">N54+N55</f>
        <v>332400</v>
      </c>
      <c r="O53" s="115">
        <f t="shared" ref="O53:O61" ca="1" si="18">IF(L53&gt;0,N53*100/L53,0)</f>
        <v>104.72589792060492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317400</v>
      </c>
      <c r="M55" s="122">
        <f t="shared" ca="1" si="20"/>
        <v>332400</v>
      </c>
      <c r="N55" s="122">
        <f t="shared" ca="1" si="20"/>
        <v>332400</v>
      </c>
      <c r="O55" s="122">
        <f t="shared" ca="1" si="18"/>
        <v>104.72589792060492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317400</v>
      </c>
      <c r="M56" s="497">
        <f ca="1">M57+M58</f>
        <v>332400</v>
      </c>
      <c r="N56" s="497">
        <f ca="1">N57+N58</f>
        <v>332400</v>
      </c>
      <c r="O56" s="497">
        <f t="shared" ca="1" si="18"/>
        <v>104.72589792060492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IFERROR(__xludf.DUMMYFUNCTION("IMPORTRANGE(""https://docs.google.com/spreadsheets/d/1MeEWN-I1oV_STSDYn1IFDPWt_1FKiwhDph83XaGc0o0/edit?usp=sharing"",""งบพรบ!W66"")"),317400)</f>
        <v>317400</v>
      </c>
      <c r="M58" s="92">
        <f ca="1">IFERROR(__xludf.DUMMYFUNCTION("IMPORTRANGE(""https://docs.google.com/spreadsheets/d/1MeEWN-I1oV_STSDYn1IFDPWt_1FKiwhDph83XaGc0o0/edit?usp=sharing"",""งบพรบ!AB66"")"),332400)</f>
        <v>332400</v>
      </c>
      <c r="N58" s="92">
        <f ca="1">IFERROR(__xludf.DUMMYFUNCTION("IMPORTRANGE(""https://docs.google.com/spreadsheets/d/1MeEWN-I1oV_STSDYn1IFDPWt_1FKiwhDph83XaGc0o0/edit?usp=sharing"",""งบพรบ!AD66"")"),332400)</f>
        <v>332400</v>
      </c>
      <c r="O58" s="92">
        <f t="shared" ca="1" si="18"/>
        <v>104.72589792060492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IFERROR(__xludf.DUMMYFUNCTION("IMPORTRANGE(""https://docs.google.com/spreadsheets/d/1MeEWN-I1oV_STSDYn1IFDPWt_1FKiwhDph83XaGc0o0/edit?usp=sharing"",""งบพรบ!Z66"")"),0)</f>
        <v>0</v>
      </c>
      <c r="M61" s="51">
        <f ca="1">IFERROR(__xludf.DUMMYFUNCTION("IMPORTRANGE(""https://docs.google.com/spreadsheets/d/1MeEWN-I1oV_STSDYn1IFDPWt_1FKiwhDph83XaGc0o0/edit?usp=sharing"",""งบพรบ!AC66"")"),0)</f>
        <v>0</v>
      </c>
      <c r="N61" s="51">
        <f ca="1">IFERROR(__xludf.DUMMYFUNCTION("IMPORTRANGE(""https://docs.google.com/spreadsheets/d/1MeEWN-I1oV_STSDYn1IFDPWt_1FKiwhDph83XaGc0o0/edit?usp=sharing"",""งบพรบ!AE66"")"),0)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IFERROR(__xludf.DUMMYFUNCTION("IMPORTRANGE(""https://docs.google.com/spreadsheets/d/1MeEWN-I1oV_STSDYn1IFDPWt_1FKiwhDph83XaGc0o0/edit?usp=sharing"",""งบพรบ!AG66"")"),0)</f>
        <v>0</v>
      </c>
      <c r="M71" s="92">
        <f ca="1">IFERROR(__xludf.DUMMYFUNCTION("IMPORTRANGE(""https://docs.google.com/spreadsheets/d/1MeEWN-I1oV_STSDYn1IFDPWt_1FKiwhDph83XaGc0o0/edit?usp=sharing"",""งบพรบ!AL66"")"),0)</f>
        <v>0</v>
      </c>
      <c r="N71" s="92">
        <f ca="1">IFERROR(__xludf.DUMMYFUNCTION("IMPORTRANGE(""https://docs.google.com/spreadsheets/d/1MeEWN-I1oV_STSDYn1IFDPWt_1FKiwhDph83XaGc0o0/edit?usp=sharing"",""งบพรบ!AN66"")"),0)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IFERROR(__xludf.DUMMYFUNCTION("IMPORTRANGE(""https://docs.google.com/spreadsheets/d/1MeEWN-I1oV_STSDYn1IFDPWt_1FKiwhDph83XaGc0o0/edit?usp=sharing"",""งบพรบ!AJ66"")"),0)</f>
        <v>0</v>
      </c>
      <c r="M74" s="92">
        <f ca="1">IFERROR(__xludf.DUMMYFUNCTION("IMPORTRANGE(""https://docs.google.com/spreadsheets/d/1MeEWN-I1oV_STSDYn1IFDPWt_1FKiwhDph83XaGc0o0/edit?usp=sharing"",""งบพรบ!AM66"")"),0)</f>
        <v>0</v>
      </c>
      <c r="N74" s="92">
        <f ca="1">IFERROR(__xludf.DUMMYFUNCTION("IMPORTRANGE(""https://docs.google.com/spreadsheets/d/1MeEWN-I1oV_STSDYn1IFDPWt_1FKiwhDph83XaGc0o0/edit?usp=sharing"",""งบพรบ!AO66"")"),0)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IFERROR(__xludf.DUMMYFUNCTION("IMPORTRANGE(""https://docs.google.com/spreadsheets/d/1QqKyyYR6Q21VydFLVH3TRQUabQu_ym0Zz7PgGX0-kHA/edit?usp=sharing"",""แผน!H66"")"),0)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IFERROR(__xludf.DUMMYFUNCTION("IMPORTRANGE(""https://docs.google.com/spreadsheets/d/1QqKyyYR6Q21VydFLVH3TRQUabQu_ym0Zz7PgGX0-kHA/edit?usp=sharing"",""แผน!I66"")"),0)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IFERROR(__xludf.DUMMYFUNCTION("IMPORTRANGE(""https://docs.google.com/spreadsheets/d/1QqKyyYR6Q21VydFLVH3TRQUabQu_ym0Zz7PgGX0-kHA/edit?usp=sharing"",""แผน!J66"")"),0)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98760</v>
      </c>
      <c r="M88" s="154">
        <f ca="1">M89+M90</f>
        <v>98760</v>
      </c>
      <c r="N88" s="154">
        <f ca="1">N89+N90</f>
        <v>98760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98760</v>
      </c>
      <c r="M90" s="92">
        <f t="shared" ca="1" si="27"/>
        <v>98760</v>
      </c>
      <c r="N90" s="92">
        <f t="shared" ca="1" si="27"/>
        <v>98760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98760</v>
      </c>
      <c r="M91" s="497">
        <f ca="1">M92+M93</f>
        <v>98760</v>
      </c>
      <c r="N91" s="497">
        <f ca="1">N92+N93</f>
        <v>98760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IFERROR(__xludf.DUMMYFUNCTION("IMPORTRANGE(""https://docs.google.com/spreadsheets/d/1MeEWN-I1oV_STSDYn1IFDPWt_1FKiwhDph83XaGc0o0/edit?usp=sharing"",""งบพรบ!AQ66"")"),98760)</f>
        <v>98760</v>
      </c>
      <c r="M93" s="92">
        <f ca="1">IFERROR(__xludf.DUMMYFUNCTION("IMPORTRANGE(""https://docs.google.com/spreadsheets/d/1MeEWN-I1oV_STSDYn1IFDPWt_1FKiwhDph83XaGc0o0/edit?usp=sharing"",""งบพรบ!AV66"")"),98760)</f>
        <v>98760</v>
      </c>
      <c r="N93" s="92">
        <f ca="1">IFERROR(__xludf.DUMMYFUNCTION("IMPORTRANGE(""https://docs.google.com/spreadsheets/d/1MeEWN-I1oV_STSDYn1IFDPWt_1FKiwhDph83XaGc0o0/edit?usp=sharing"",""งบพรบ!AX66"")"),98760)</f>
        <v>98760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IFERROR(__xludf.DUMMYFUNCTION("IMPORTRANGE(""https://docs.google.com/spreadsheets/d/1MeEWN-I1oV_STSDYn1IFDPWt_1FKiwhDph83XaGc0o0/edit?usp=sharing"",""งบพรบ!AT66"")"),0)</f>
        <v>0</v>
      </c>
      <c r="M96" s="92">
        <f ca="1">IFERROR(__xludf.DUMMYFUNCTION("IMPORTRANGE(""https://docs.google.com/spreadsheets/d/1MeEWN-I1oV_STSDYn1IFDPWt_1FKiwhDph83XaGc0o0/edit?usp=sharing"",""งบพรบ!AW66"")"),0)</f>
        <v>0</v>
      </c>
      <c r="N96" s="92">
        <f ca="1">IFERROR(__xludf.DUMMYFUNCTION("IMPORTRANGE(""https://docs.google.com/spreadsheets/d/1MeEWN-I1oV_STSDYn1IFDPWt_1FKiwhDph83XaGc0o0/edit?usp=sharing"",""งบพรบ!AY66"")"),0)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IFERROR(__xludf.DUMMYFUNCTION("IMPORTRANGE(""https://docs.google.com/spreadsheets/d/1QqKyyYR6Q21VydFLVH3TRQUabQu_ym0Zz7PgGX0-kHA/edit?usp=sharing"",""แผน!K66"")"),45)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IFERROR(__xludf.DUMMYFUNCTION("IMPORTRANGE(""https://docs.google.com/spreadsheets/d/1QqKyyYR6Q21VydFLVH3TRQUabQu_ym0Zz7PgGX0-kHA/edit?usp=sharing"",""แผน!L66"")"),15)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IFERROR(__xludf.DUMMYFUNCTION("IMPORTRANGE(""https://docs.google.com/spreadsheets/d/1QqKyyYR6Q21VydFLVH3TRQUabQu_ym0Zz7PgGX0-kHA/edit?usp=sharing"",""แผน!M66"")"),2)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IFERROR(__xludf.DUMMYFUNCTION("IMPORTRANGE(""https://docs.google.com/spreadsheets/d/1QqKyyYR6Q21VydFLVH3TRQUabQu_ym0Zz7PgGX0-kHA/edit?usp=sharing"",""แผน!N66"")"),45)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IFERROR(__xludf.DUMMYFUNCTION("IMPORTRANGE(""https://docs.google.com/spreadsheets/d/1QqKyyYR6Q21VydFLVH3TRQUabQu_ym0Zz7PgGX0-kHA/edit?usp=sharing"",""แผน!O66"")"),15)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IFERROR(__xludf.DUMMYFUNCTION("IMPORTRANGE(""https://docs.google.com/spreadsheets/d/1QqKyyYR6Q21VydFLVH3TRQUabQu_ym0Zz7PgGX0-kHA/edit?usp=sharing"",""แผน!O66"")"),15)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IFERROR(__xludf.DUMMYFUNCTION("IMPORTRANGE(""https://docs.google.com/spreadsheets/d/1QqKyyYR6Q21VydFLVH3TRQUabQu_ym0Zz7PgGX0-kHA/edit?usp=sharing"",""แผน!P66"")"),1)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IFERROR(__xludf.DUMMYFUNCTION("IMPORTRANGE(""https://docs.google.com/spreadsheets/d/1QqKyyYR6Q21VydFLVH3TRQUabQu_ym0Zz7PgGX0-kHA/edit?usp=sharing"",""แผน!P66"")"),1)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IFERROR(__xludf.DUMMYFUNCTION("IMPORTRANGE(""https://docs.google.com/spreadsheets/d/1QqKyyYR6Q21VydFLVH3TRQUabQu_ym0Zz7PgGX0-kHA/edit?usp=sharing"",""แผน!Q66"")"),1)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IFERROR(__xludf.DUMMYFUNCTION("IMPORTRANGE(""https://docs.google.com/spreadsheets/d/1QqKyyYR6Q21VydFLVH3TRQUabQu_ym0Zz7PgGX0-kHA/edit?usp=sharing"",""แผน!Q66"")"),1)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IFERROR(__xludf.DUMMYFUNCTION("IMPORTRANGE(""https://docs.google.com/spreadsheets/d/1QqKyyYR6Q21VydFLVH3TRQUabQu_ym0Zz7PgGX0-kHA/edit?usp=sharing"",""แผน!R66"")"),15)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IFERROR(__xludf.DUMMYFUNCTION("IMPORTRANGE(""https://docs.google.com/spreadsheets/d/1QqKyyYR6Q21VydFLVH3TRQUabQu_ym0Zz7PgGX0-kHA/edit?usp=sharing"",""แผน!R66"")"),15)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IFERROR(__xludf.DUMMYFUNCTION("IMPORTRANGE(""https://docs.google.com/spreadsheets/d/1QqKyyYR6Q21VydFLVH3TRQUabQu_ym0Zz7PgGX0-kHA/edit?usp=sharing"",""แผน!S66"")"),1)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IFERROR(__xludf.DUMMYFUNCTION("IMPORTRANGE(""https://docs.google.com/spreadsheets/d/1QqKyyYR6Q21VydFLVH3TRQUabQu_ym0Zz7PgGX0-kHA/edit?usp=sharing"",""แผน!T66"")"),1)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IFERROR(__xludf.DUMMYFUNCTION("IMPORTRANGE(""https://docs.google.com/spreadsheets/d/1MeEWN-I1oV_STSDYn1IFDPWt_1FKiwhDph83XaGc0o0/edit?usp=sharing"",""งบพรบ!BA66"")"),0)</f>
        <v>0</v>
      </c>
      <c r="M124" s="92">
        <f ca="1">IFERROR(__xludf.DUMMYFUNCTION("IMPORTRANGE(""https://docs.google.com/spreadsheets/d/1MeEWN-I1oV_STSDYn1IFDPWt_1FKiwhDph83XaGc0o0/edit?usp=sharing"",""งบพรบ!BF66"")"),0)</f>
        <v>0</v>
      </c>
      <c r="N124" s="92">
        <f ca="1">IFERROR(__xludf.DUMMYFUNCTION("IMPORTRANGE(""https://docs.google.com/spreadsheets/d/1MeEWN-I1oV_STSDYn1IFDPWt_1FKiwhDph83XaGc0o0/edit?usp=sharing"",""งบพรบ!BH66"")"),0)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IFERROR(__xludf.DUMMYFUNCTION("IMPORTRANGE(""https://docs.google.com/spreadsheets/d/1MeEWN-I1oV_STSDYn1IFDPWt_1FKiwhDph83XaGc0o0/edit?usp=sharing"",""งบพรบ!BD66"")"),0)</f>
        <v>0</v>
      </c>
      <c r="M127" s="92">
        <f ca="1">IFERROR(__xludf.DUMMYFUNCTION("IMPORTRANGE(""https://docs.google.com/spreadsheets/d/1MeEWN-I1oV_STSDYn1IFDPWt_1FKiwhDph83XaGc0o0/edit?usp=sharing"",""งบพรบ!BG66"")"),0)</f>
        <v>0</v>
      </c>
      <c r="N127" s="92">
        <f ca="1">IFERROR(__xludf.DUMMYFUNCTION("IMPORTRANGE(""https://docs.google.com/spreadsheets/d/1MeEWN-I1oV_STSDYn1IFDPWt_1FKiwhDph83XaGc0o0/edit?usp=sharing"",""งบพรบ!BI66"")"),0)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IFERROR(__xludf.DUMMYFUNCTION("IMPORTRANGE(""https://docs.google.com/spreadsheets/d/1MeEWN-I1oV_STSDYn1IFDPWt_1FKiwhDph83XaGc0o0/edit?usp=sharing"",""งบพรบ!BK66"")"),0)</f>
        <v>0</v>
      </c>
      <c r="M137" s="92">
        <f ca="1">IFERROR(__xludf.DUMMYFUNCTION("IMPORTRANGE(""https://docs.google.com/spreadsheets/d/1MeEWN-I1oV_STSDYn1IFDPWt_1FKiwhDph83XaGc0o0/edit?usp=sharing"",""งบพรบ!BP66"")"),0)</f>
        <v>0</v>
      </c>
      <c r="N137" s="92">
        <f ca="1">IFERROR(__xludf.DUMMYFUNCTION("IMPORTRANGE(""https://docs.google.com/spreadsheets/d/1MeEWN-I1oV_STSDYn1IFDPWt_1FKiwhDph83XaGc0o0/edit?usp=sharing"",""งบพรบ!BR66"")"),0)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IFERROR(__xludf.DUMMYFUNCTION("IMPORTRANGE(""https://docs.google.com/spreadsheets/d/1MeEWN-I1oV_STSDYn1IFDPWt_1FKiwhDph83XaGc0o0/edit?usp=sharing"",""งบพรบ!BN66"")"),0)</f>
        <v>0</v>
      </c>
      <c r="M140" s="92">
        <f ca="1">IFERROR(__xludf.DUMMYFUNCTION("IMPORTRANGE(""https://docs.google.com/spreadsheets/d/1MeEWN-I1oV_STSDYn1IFDPWt_1FKiwhDph83XaGc0o0/edit?usp=sharing"",""งบพรบ!BQ66"")"),0)</f>
        <v>0</v>
      </c>
      <c r="N140" s="92">
        <f ca="1">IFERROR(__xludf.DUMMYFUNCTION("IMPORTRANGE(""https://docs.google.com/spreadsheets/d/1MeEWN-I1oV_STSDYn1IFDPWt_1FKiwhDph83XaGc0o0/edit?usp=sharing"",""งบพรบ!BS66"")"),0)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IFERROR(__xludf.DUMMYFUNCTION("IMPORTRANGE(""https://docs.google.com/spreadsheets/d/1QqKyyYR6Q21VydFLVH3TRQUabQu_ym0Zz7PgGX0-kHA/edit?usp=sharing"",""แผน!U66"")"),0)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IFERROR(__xludf.DUMMYFUNCTION("IMPORTRANGE(""https://docs.google.com/spreadsheets/d/1QqKyyYR6Q21VydFLVH3TRQUabQu_ym0Zz7PgGX0-kHA/edit?usp=sharing"",""แผน!V66"")"),0)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IFERROR(__xludf.DUMMYFUNCTION("IMPORTRANGE(""https://docs.google.com/spreadsheets/d/1QqKyyYR6Q21VydFLVH3TRQUabQu_ym0Zz7PgGX0-kHA/edit?usp=sharing"",""แผน!W66"")"),0)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IFERROR(__xludf.DUMMYFUNCTION("IMPORTRANGE(""https://docs.google.com/spreadsheets/d/1MeEWN-I1oV_STSDYn1IFDPWt_1FKiwhDph83XaGc0o0/edit?usp=sharing"",""งบพรบ!BU66"")"),0)</f>
        <v>0</v>
      </c>
      <c r="M154" s="92">
        <f ca="1">IFERROR(__xludf.DUMMYFUNCTION("IMPORTRANGE(""https://docs.google.com/spreadsheets/d/1MeEWN-I1oV_STSDYn1IFDPWt_1FKiwhDph83XaGc0o0/edit?usp=sharing"",""งบพรบ!BZ66"")"),0)</f>
        <v>0</v>
      </c>
      <c r="N154" s="92">
        <f ca="1">IFERROR(__xludf.DUMMYFUNCTION("IMPORTRANGE(""https://docs.google.com/spreadsheets/d/1MeEWN-I1oV_STSDYn1IFDPWt_1FKiwhDph83XaGc0o0/edit?usp=sharing"",""งบพรบ!CB66"")"),0)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IFERROR(__xludf.DUMMYFUNCTION("IMPORTRANGE(""https://docs.google.com/spreadsheets/d/1MeEWN-I1oV_STSDYn1IFDPWt_1FKiwhDph83XaGc0o0/edit?usp=sharing"",""งบพรบ!BX66"")"),0)</f>
        <v>0</v>
      </c>
      <c r="M157" s="92">
        <f ca="1">IFERROR(__xludf.DUMMYFUNCTION("IMPORTRANGE(""https://docs.google.com/spreadsheets/d/1MeEWN-I1oV_STSDYn1IFDPWt_1FKiwhDph83XaGc0o0/edit?usp=sharing"",""งบพรบ!CA66"")"),0)</f>
        <v>0</v>
      </c>
      <c r="N157" s="92">
        <f ca="1">IFERROR(__xludf.DUMMYFUNCTION("IMPORTRANGE(""https://docs.google.com/spreadsheets/d/1MeEWN-I1oV_STSDYn1IFDPWt_1FKiwhDph83XaGc0o0/edit?usp=sharing"",""งบพรบ!CC66"")"),0)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IFERROR(__xludf.DUMMYFUNCTION("IMPORTRANGE(""https://docs.google.com/spreadsheets/d/1QqKyyYR6Q21VydFLVH3TRQUabQu_ym0Zz7PgGX0-kHA/edit?usp=sharing"",""แผน!X66"")"),0)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47360</v>
      </c>
      <c r="N165" s="154">
        <f ca="1">N166+N167</f>
        <v>47360</v>
      </c>
      <c r="O165" s="154">
        <f t="shared" ref="O165:O173" ca="1" si="38">IF(L165&gt;0,N165*100/L165,0)</f>
        <v>224.98812351543944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47360</v>
      </c>
      <c r="N167" s="92">
        <f t="shared" ca="1" si="40"/>
        <v>47360</v>
      </c>
      <c r="O167" s="92">
        <f t="shared" ca="1" si="38"/>
        <v>224.98812351543944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47360</v>
      </c>
      <c r="N168" s="497">
        <f ca="1">N169+N170</f>
        <v>47360</v>
      </c>
      <c r="O168" s="497">
        <f t="shared" ca="1" si="38"/>
        <v>224.98812351543944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IFERROR(__xludf.DUMMYFUNCTION("IMPORTRANGE(""https://docs.google.com/spreadsheets/d/1MeEWN-I1oV_STSDYn1IFDPWt_1FKiwhDph83XaGc0o0/edit?usp=sharing"",""งบพรบ!CE66"")"),21050)</f>
        <v>21050</v>
      </c>
      <c r="M170" s="92">
        <f ca="1">IFERROR(__xludf.DUMMYFUNCTION("IMPORTRANGE(""https://docs.google.com/spreadsheets/d/1MeEWN-I1oV_STSDYn1IFDPWt_1FKiwhDph83XaGc0o0/edit?usp=sharing"",""งบพรบ!CJ66"")"),47360)</f>
        <v>47360</v>
      </c>
      <c r="N170" s="92">
        <f ca="1">IFERROR(__xludf.DUMMYFUNCTION("IMPORTRANGE(""https://docs.google.com/spreadsheets/d/1MeEWN-I1oV_STSDYn1IFDPWt_1FKiwhDph83XaGc0o0/edit?usp=sharing"",""งบพรบ!CL66"")"),47360)</f>
        <v>47360</v>
      </c>
      <c r="O170" s="92">
        <f t="shared" ca="1" si="38"/>
        <v>224.98812351543944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IFERROR(__xludf.DUMMYFUNCTION("IMPORTRANGE(""https://docs.google.com/spreadsheets/d/1MeEWN-I1oV_STSDYn1IFDPWt_1FKiwhDph83XaGc0o0/edit?usp=sharing"",""งบพรบ!CH66"")"),0)</f>
        <v>0</v>
      </c>
      <c r="M173" s="92">
        <f ca="1">IFERROR(__xludf.DUMMYFUNCTION("IMPORTRANGE(""https://docs.google.com/spreadsheets/d/1MeEWN-I1oV_STSDYn1IFDPWt_1FKiwhDph83XaGc0o0/edit?usp=sharing"",""งบพรบ!CK66"")"),0)</f>
        <v>0</v>
      </c>
      <c r="N173" s="92">
        <f ca="1">IFERROR(__xludf.DUMMYFUNCTION("IMPORTRANGE(""https://docs.google.com/spreadsheets/d/1MeEWN-I1oV_STSDYn1IFDPWt_1FKiwhDph83XaGc0o0/edit?usp=sharing"",""งบพรบ!CM66"")"),0)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IFERROR(__xludf.DUMMYFUNCTION("IMPORTRANGE(""https://docs.google.com/spreadsheets/d/1QqKyyYR6Q21VydFLVH3TRQUabQu_ym0Zz7PgGX0-kHA/edit?usp=sharing"",""แผน!Y66"")"),10)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253200</v>
      </c>
      <c r="M181" s="154">
        <f ca="1">M182+M183</f>
        <v>258920</v>
      </c>
      <c r="N181" s="154">
        <f ca="1">N182+N183</f>
        <v>258920</v>
      </c>
      <c r="O181" s="154">
        <f t="shared" ref="O181:O189" ca="1" si="41">IF(L181&gt;0,N181*100/L181,0)</f>
        <v>102.25908372827804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253200</v>
      </c>
      <c r="M183" s="92">
        <f t="shared" ca="1" si="43"/>
        <v>258920</v>
      </c>
      <c r="N183" s="92">
        <f t="shared" ca="1" si="43"/>
        <v>258920</v>
      </c>
      <c r="O183" s="92">
        <f t="shared" ca="1" si="41"/>
        <v>102.25908372827804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253200</v>
      </c>
      <c r="M184" s="497">
        <f ca="1">M185+M186</f>
        <v>258920</v>
      </c>
      <c r="N184" s="497">
        <f ca="1">N185+N186</f>
        <v>258920</v>
      </c>
      <c r="O184" s="497">
        <f t="shared" ca="1" si="41"/>
        <v>102.25908372827804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IFERROR(__xludf.DUMMYFUNCTION("IMPORTRANGE(""https://docs.google.com/spreadsheets/d/1MeEWN-I1oV_STSDYn1IFDPWt_1FKiwhDph83XaGc0o0/edit?usp=sharing"",""งบพรบ!CO66"")"),253200)</f>
        <v>253200</v>
      </c>
      <c r="M186" s="92">
        <f ca="1">IFERROR(__xludf.DUMMYFUNCTION("IMPORTRANGE(""https://docs.google.com/spreadsheets/d/1MeEWN-I1oV_STSDYn1IFDPWt_1FKiwhDph83XaGc0o0/edit?usp=sharing"",""งบพรบ!CT66"")"),258920)</f>
        <v>258920</v>
      </c>
      <c r="N186" s="92">
        <f ca="1">IFERROR(__xludf.DUMMYFUNCTION("IMPORTRANGE(""https://docs.google.com/spreadsheets/d/1MeEWN-I1oV_STSDYn1IFDPWt_1FKiwhDph83XaGc0o0/edit?usp=sharing"",""งบพรบ!CV66"")"),258920)</f>
        <v>258920</v>
      </c>
      <c r="O186" s="92">
        <f t="shared" ca="1" si="41"/>
        <v>102.25908372827804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IFERROR(__xludf.DUMMYFUNCTION("IMPORTRANGE(""https://docs.google.com/spreadsheets/d/1MeEWN-I1oV_STSDYn1IFDPWt_1FKiwhDph83XaGc0o0/edit?usp=sharing"",""งบพรบ!CR66"")"),0)</f>
        <v>0</v>
      </c>
      <c r="M189" s="92">
        <f ca="1">IFERROR(__xludf.DUMMYFUNCTION("IMPORTRANGE(""https://docs.google.com/spreadsheets/d/1MeEWN-I1oV_STSDYn1IFDPWt_1FKiwhDph83XaGc0o0/edit?usp=sharing"",""งบพรบ!CU66"")"),0)</f>
        <v>0</v>
      </c>
      <c r="N189" s="92">
        <f ca="1">IFERROR(__xludf.DUMMYFUNCTION("IMPORTRANGE(""https://docs.google.com/spreadsheets/d/1MeEWN-I1oV_STSDYn1IFDPWt_1FKiwhDph83XaGc0o0/edit?usp=sharing"",""งบพรบ!CW66"")"),0)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IFERROR(__xludf.DUMMYFUNCTION("IMPORTRANGE(""https://docs.google.com/spreadsheets/d/1QqKyyYR6Q21VydFLVH3TRQUabQu_ym0Zz7PgGX0-kHA/edit?usp=sharing"",""แผน!Z66"")"),6000)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IFERROR(__xludf.DUMMYFUNCTION("IMPORTRANGE(""https://docs.google.com/spreadsheets/d/1QqKyyYR6Q21VydFLVH3TRQUabQu_ym0Zz7PgGX0-kHA/edit?usp=sharing"",""แผน!AC66"")"),4)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258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258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IFERROR(__xludf.DUMMYFUNCTION("IMPORTRANGE(""https://docs.google.com/spreadsheets/d/1QqKyyYR6Q21VydFLVH3TRQUabQu_ym0Zz7PgGX0-kHA/edit?usp=sharing"",""แผน!AI66"")"),1)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IFERROR(__xludf.DUMMYFUNCTION("IMPORTRANGE(""https://docs.google.com/spreadsheets/d/1QqKyyYR6Q21VydFLVH3TRQUabQu_ym0Zz7PgGX0-kHA/edit?usp=sharing"",""แผน!AN66"")"),0)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IFERROR(__xludf.DUMMYFUNCTION("IMPORTRANGE(""https://docs.google.com/spreadsheets/d/1QqKyyYR6Q21VydFLVH3TRQUabQu_ym0Zz7PgGX0-kHA/edit?usp=sharing"",""แผน!AN66"")"),0)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6400</v>
      </c>
      <c r="J216" s="271">
        <f>J224</f>
        <v>6400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6200</v>
      </c>
      <c r="M217" s="154"/>
      <c r="N217" s="154">
        <f>N218+N219+N220</f>
        <v>6200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3">
        <v>3200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IFERROR(__xludf.DUMMYFUNCTION("IMPORTRANGE(""https://docs.google.com/spreadsheets/d/1QqKyyYR6Q21VydFLVH3TRQUabQu_ym0Zz7PgGX0-kHA/edit?usp=sharing"",""แผน!AT66"")"),6400)</f>
        <v>6400</v>
      </c>
      <c r="J223" s="214">
        <v>6400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IFERROR(__xludf.DUMMYFUNCTION("IMPORTRANGE(""https://docs.google.com/spreadsheets/d/1QqKyyYR6Q21VydFLVH3TRQUabQu_ym0Zz7PgGX0-kHA/edit?usp=sharing"",""แผน!AT66"")"),6400)</f>
        <v>6400</v>
      </c>
      <c r="J224" s="214">
        <v>6400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IFERROR(__xludf.DUMMYFUNCTION("IMPORTRANGE(""https://docs.google.com/spreadsheets/d/1QqKyyYR6Q21VydFLVH3TRQUabQu_ym0Zz7PgGX0-kHA/edit?usp=sharing"",""แผน!AS66"")"),0)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78000</v>
      </c>
      <c r="M227" s="355"/>
      <c r="N227" s="355">
        <f>N238+N249</f>
        <v>78000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28000</v>
      </c>
      <c r="M229" s="92"/>
      <c r="N229" s="92">
        <f>N240+N251</f>
        <v>28000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20000</v>
      </c>
      <c r="M230" s="92"/>
      <c r="N230" s="92">
        <f>N241+N252</f>
        <v>20000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78000</v>
      </c>
      <c r="M238" s="154"/>
      <c r="N238" s="154">
        <f>N239+N240+N241+N242</f>
        <v>78000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IFERROR(__xludf.DUMMYFUNCTION("IMPORTRANGE(""https://docs.google.com/spreadsheets/d/1QqKyyYR6Q21VydFLVH3TRQUabQu_ym0Zz7PgGX0-kHA/edit?usp=sharing"",""แผน!AV66"")"),20000)</f>
        <v>20000</v>
      </c>
      <c r="M239" s="282"/>
      <c r="N239" s="862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IFERROR(__xludf.DUMMYFUNCTION("IMPORTRANGE(""https://docs.google.com/spreadsheets/d/1QqKyyYR6Q21VydFLVH3TRQUabQu_ym0Zz7PgGX0-kHA/edit?usp=sharing"",""แผน!AW66"")"),28000)</f>
        <v>28000</v>
      </c>
      <c r="M240" s="282"/>
      <c r="N240" s="862">
        <v>28000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IFERROR(__xludf.DUMMYFUNCTION("IMPORTRANGE(""https://docs.google.com/spreadsheets/d/1QqKyyYR6Q21VydFLVH3TRQUabQu_ym0Zz7PgGX0-kHA/edit?usp=sharing"",""แผน!AX66"")"),20000)</f>
        <v>20000</v>
      </c>
      <c r="M241" s="282"/>
      <c r="N241" s="862">
        <v>20000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IFERROR(__xludf.DUMMYFUNCTION("IMPORTRANGE(""https://docs.google.com/spreadsheets/d/1QqKyyYR6Q21VydFLVH3TRQUabQu_ym0Zz7PgGX0-kHA/edit?usp=sharing"",""แผน!AY66"")"),10000)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IFERROR(__xludf.DUMMYFUNCTION("IMPORTRANGE(""https://docs.google.com/spreadsheets/d/1QqKyyYR6Q21VydFLVH3TRQUabQu_ym0Zz7PgGX0-kHA/edit?usp=sharing"",""แผน!BE66"")"),20)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IFERROR(__xludf.DUMMYFUNCTION("IMPORTRANGE(""https://docs.google.com/spreadsheets/d/1QqKyyYR6Q21VydFLVH3TRQUabQu_ym0Zz7PgGX0-kHA/edit?usp=sharing"",""แผน!AZ66"")"),0)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IFERROR(__xludf.DUMMYFUNCTION("IMPORTRANGE(""https://docs.google.com/spreadsheets/d/1QqKyyYR6Q21VydFLVH3TRQUabQu_ym0Zz7PgGX0-kHA/edit?usp=sharing"",""แผน!BA66"")"),0)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IFERROR(__xludf.DUMMYFUNCTION("IMPORTRANGE(""https://docs.google.com/spreadsheets/d/1QqKyyYR6Q21VydFLVH3TRQUabQu_ym0Zz7PgGX0-kHA/edit?usp=sharing"",""แผน!BB66"")"),0)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IFERROR(__xludf.DUMMYFUNCTION("IMPORTRANGE(""https://docs.google.com/spreadsheets/d/1QqKyyYR6Q21VydFLVH3TRQUabQu_ym0Zz7PgGX0-kHA/edit?usp=sharing"",""แผน!BC66"")"),0)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IFERROR(__xludf.DUMMYFUNCTION("IMPORTRANGE(""https://docs.google.com/spreadsheets/d/1MeEWN-I1oV_STSDYn1IFDPWt_1FKiwhDph83XaGc0o0/edit?usp=sharing"",""งบพรบ!CY66"")"),26900)</f>
        <v>26900</v>
      </c>
      <c r="M266" s="92">
        <f ca="1">IFERROR(__xludf.DUMMYFUNCTION("IMPORTRANGE(""https://docs.google.com/spreadsheets/d/1MeEWN-I1oV_STSDYn1IFDPWt_1FKiwhDph83XaGc0o0/edit?usp=sharing"",""งบพรบ!DD66"")"),26900)</f>
        <v>26900</v>
      </c>
      <c r="N266" s="92">
        <f ca="1">IFERROR(__xludf.DUMMYFUNCTION("IMPORTRANGE(""https://docs.google.com/spreadsheets/d/1MeEWN-I1oV_STSDYn1IFDPWt_1FKiwhDph83XaGc0o0/edit?usp=sharing"",""งบพรบ!DF66"")"),26900)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IFERROR(__xludf.DUMMYFUNCTION("IMPORTRANGE(""https://docs.google.com/spreadsheets/d/1MeEWN-I1oV_STSDYn1IFDPWt_1FKiwhDph83XaGc0o0/edit?usp=sharing"",""งบพรบ!DB66"")"),0)</f>
        <v>0</v>
      </c>
      <c r="M269" s="92">
        <f ca="1">IFERROR(__xludf.DUMMYFUNCTION("IMPORTRANGE(""https://docs.google.com/spreadsheets/d/1MeEWN-I1oV_STSDYn1IFDPWt_1FKiwhDph83XaGc0o0/edit?usp=sharing"",""งบพรบ!DE66"")"),0)</f>
        <v>0</v>
      </c>
      <c r="N269" s="92">
        <f ca="1">IFERROR(__xludf.DUMMYFUNCTION("IMPORTRANGE(""https://docs.google.com/spreadsheets/d/1MeEWN-I1oV_STSDYn1IFDPWt_1FKiwhDph83XaGc0o0/edit?usp=sharing"",""งบพรบ!DG66"")"),0)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IFERROR(__xludf.DUMMYFUNCTION("IMPORTRANGE(""https://docs.google.com/spreadsheets/d/1QqKyyYR6Q21VydFLVH3TRQUabQu_ym0Zz7PgGX0-kHA/edit?usp=sharing"",""แผน!EA66"")"),22)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IFERROR(__xludf.DUMMYFUNCTION("IMPORTRANGE(""https://docs.google.com/spreadsheets/d/1MeEWN-I1oV_STSDYn1IFDPWt_1FKiwhDph83XaGc0o0/edit?usp=sharing"",""งบพรบ!DI66"")"),0)</f>
        <v>0</v>
      </c>
      <c r="M282" s="92">
        <f ca="1">IFERROR(__xludf.DUMMYFUNCTION("IMPORTRANGE(""https://docs.google.com/spreadsheets/d/1MeEWN-I1oV_STSDYn1IFDPWt_1FKiwhDph83XaGc0o0/edit?usp=sharing"",""งบพรบ!DN66"")"),0)</f>
        <v>0</v>
      </c>
      <c r="N282" s="92">
        <f ca="1">IFERROR(__xludf.DUMMYFUNCTION("IMPORTRANGE(""https://docs.google.com/spreadsheets/d/1MeEWN-I1oV_STSDYn1IFDPWt_1FKiwhDph83XaGc0o0/edit?usp=sharing"",""งบพรบ!DP66"")"),0)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IFERROR(__xludf.DUMMYFUNCTION("IMPORTRANGE(""https://docs.google.com/spreadsheets/d/1MeEWN-I1oV_STSDYn1IFDPWt_1FKiwhDph83XaGc0o0/edit?usp=sharing"",""งบพรบ!DL66"")"),0)</f>
        <v>0</v>
      </c>
      <c r="M285" s="92">
        <f ca="1">IFERROR(__xludf.DUMMYFUNCTION("IMPORTRANGE(""https://docs.google.com/spreadsheets/d/1MeEWN-I1oV_STSDYn1IFDPWt_1FKiwhDph83XaGc0o0/edit?usp=sharing"",""งบพรบ!DO66"")"),0)</f>
        <v>0</v>
      </c>
      <c r="N285" s="92">
        <f ca="1">IFERROR(__xludf.DUMMYFUNCTION("IMPORTRANGE(""https://docs.google.com/spreadsheets/d/1MeEWN-I1oV_STSDYn1IFDPWt_1FKiwhDph83XaGc0o0/edit?usp=sharing"",""งบพรบ!DQ66"")"),0)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IFERROR(__xludf.DUMMYFUNCTION("IMPORTRANGE(""https://docs.google.com/spreadsheets/d/1QqKyyYR6Q21VydFLVH3TRQUabQu_ym0Zz7PgGX0-kHA/edit?usp=sharing"",""แผน!EC66"")"),0)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IFERROR(__xludf.DUMMYFUNCTION("IMPORTRANGE(""https://docs.google.com/spreadsheets/d/1QqKyyYR6Q21VydFLVH3TRQUabQu_ym0Zz7PgGX0-kHA/edit?usp=sharing"",""แผน!EB66"")"),0)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IFERROR(__xludf.DUMMYFUNCTION("IMPORTRANGE(""https://docs.google.com/spreadsheets/d/1QqKyyYR6Q21VydFLVH3TRQUabQu_ym0Zz7PgGX0-kHA/edit?usp=sharing"",""แผน!EB66"")"),0)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IFERROR(__xludf.DUMMYFUNCTION("IMPORTRANGE(""https://docs.google.com/spreadsheets/d/1QqKyyYR6Q21VydFLVH3TRQUabQu_ym0Zz7PgGX0-kHA/edit?usp=sharing"",""แผน!EB66"")"),0)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IFERROR(__xludf.DUMMYFUNCTION("IMPORTRANGE(""https://docs.google.com/spreadsheets/d/1QqKyyYR6Q21VydFLVH3TRQUabQu_ym0Zz7PgGX0-kHA/edit?usp=sharing"",""แผน!EB66"")"),0)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25</v>
      </c>
      <c r="J297" s="443">
        <f>J309</f>
        <v>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244000</v>
      </c>
      <c r="M298" s="154">
        <f ca="1">M299+M300</f>
        <v>257000</v>
      </c>
      <c r="N298" s="154">
        <f ca="1">N299+N300</f>
        <v>257000</v>
      </c>
      <c r="O298" s="154">
        <f t="shared" ref="O298:O306" ca="1" si="50">IF(L298&gt;0,N298*100/L298,0)</f>
        <v>105.32786885245902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244000</v>
      </c>
      <c r="M300" s="92">
        <f t="shared" ca="1" si="52"/>
        <v>257000</v>
      </c>
      <c r="N300" s="92">
        <f t="shared" ca="1" si="52"/>
        <v>257000</v>
      </c>
      <c r="O300" s="92">
        <f t="shared" ca="1" si="50"/>
        <v>105.32786885245902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244000</v>
      </c>
      <c r="M301" s="497">
        <f ca="1">M302+M303</f>
        <v>257000</v>
      </c>
      <c r="N301" s="497">
        <f ca="1">N302+N303</f>
        <v>257000</v>
      </c>
      <c r="O301" s="497">
        <f t="shared" ca="1" si="50"/>
        <v>105.32786885245902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IFERROR(__xludf.DUMMYFUNCTION("IMPORTRANGE(""https://docs.google.com/spreadsheets/d/1MeEWN-I1oV_STSDYn1IFDPWt_1FKiwhDph83XaGc0o0/edit?usp=sharing"",""งบพรบ!DS66"")"),244000)</f>
        <v>244000</v>
      </c>
      <c r="M303" s="92">
        <f ca="1">IFERROR(__xludf.DUMMYFUNCTION("IMPORTRANGE(""https://docs.google.com/spreadsheets/d/1MeEWN-I1oV_STSDYn1IFDPWt_1FKiwhDph83XaGc0o0/edit?usp=sharing"",""งบพรบ!DX66"")"),257000)</f>
        <v>257000</v>
      </c>
      <c r="N303" s="92">
        <f ca="1">IFERROR(__xludf.DUMMYFUNCTION("IMPORTRANGE(""https://docs.google.com/spreadsheets/d/1MeEWN-I1oV_STSDYn1IFDPWt_1FKiwhDph83XaGc0o0/edit?usp=sharing"",""งบพรบ!DZ66"")"),257000)</f>
        <v>257000</v>
      </c>
      <c r="O303" s="92">
        <f t="shared" ca="1" si="50"/>
        <v>105.32786885245902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IFERROR(__xludf.DUMMYFUNCTION("IMPORTRANGE(""https://docs.google.com/spreadsheets/d/1MeEWN-I1oV_STSDYn1IFDPWt_1FKiwhDph83XaGc0o0/edit?usp=sharing"",""งบพรบ!DV66"")"),0)</f>
        <v>0</v>
      </c>
      <c r="M306" s="92">
        <f ca="1">IFERROR(__xludf.DUMMYFUNCTION("IMPORTRANGE(""https://docs.google.com/spreadsheets/d/1MeEWN-I1oV_STSDYn1IFDPWt_1FKiwhDph83XaGc0o0/edit?usp=sharing"",""งบพรบ!DY66"")"),0)</f>
        <v>0</v>
      </c>
      <c r="N306" s="92">
        <f ca="1">IFERROR(__xludf.DUMMYFUNCTION("IMPORTRANGE(""https://docs.google.com/spreadsheets/d/1MeEWN-I1oV_STSDYn1IFDPWt_1FKiwhDph83XaGc0o0/edit?usp=sharing"",""งบพรบ!EA66"")"),0)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IFERROR(__xludf.DUMMYFUNCTION("IMPORTRANGE(""https://docs.google.com/spreadsheets/d/1QqKyyYR6Q21VydFLVH3TRQUabQu_ym0Zz7PgGX0-kHA/edit?usp=sharing"",""แผน!ED66"")"),25)</f>
        <v>25</v>
      </c>
      <c r="J309" s="214">
        <v>25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IFERROR(__xludf.DUMMYFUNCTION("IMPORTRANGE(""https://docs.google.com/spreadsheets/d/1QqKyyYR6Q21VydFLVH3TRQUabQu_ym0Zz7PgGX0-kHA/edit?usp=sharing"",""แผน!ED66"")"),25)</f>
        <v>25</v>
      </c>
      <c r="J310" s="214">
        <v>25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IFERROR(__xludf.DUMMYFUNCTION("IMPORTRANGE(""https://docs.google.com/spreadsheets/d/1QqKyyYR6Q21VydFLVH3TRQUabQu_ym0Zz7PgGX0-kHA/edit?usp=sharing"",""แผน!ED66"")"),25)</f>
        <v>25</v>
      </c>
      <c r="J311" s="214">
        <v>25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IFERROR(__xludf.DUMMYFUNCTION("IMPORTRANGE(""https://docs.google.com/spreadsheets/d/1QqKyyYR6Q21VydFLVH3TRQUabQu_ym0Zz7PgGX0-kHA/edit?usp=sharing"",""แผน!EE66"")"),5)</f>
        <v>5</v>
      </c>
      <c r="J312" s="214">
        <v>5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IFERROR(__xludf.DUMMYFUNCTION("IMPORTRANGE(""https://docs.google.com/spreadsheets/d/1MeEWN-I1oV_STSDYn1IFDPWt_1FKiwhDph83XaGc0o0/edit?usp=sharing"",""งบพรบ!EC66"")"),0)</f>
        <v>0</v>
      </c>
      <c r="M320" s="92">
        <f ca="1">IFERROR(__xludf.DUMMYFUNCTION("IMPORTRANGE(""https://docs.google.com/spreadsheets/d/1MeEWN-I1oV_STSDYn1IFDPWt_1FKiwhDph83XaGc0o0/edit?usp=sharing"",""งบพรบ!EH66"")"),0)</f>
        <v>0</v>
      </c>
      <c r="N320" s="92">
        <f ca="1">IFERROR(__xludf.DUMMYFUNCTION("IMPORTRANGE(""https://docs.google.com/spreadsheets/d/1MeEWN-I1oV_STSDYn1IFDPWt_1FKiwhDph83XaGc0o0/edit?usp=sharing"",""งบพรบ!EJ66"")"),0)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IFERROR(__xludf.DUMMYFUNCTION("IMPORTRANGE(""https://docs.google.com/spreadsheets/d/1MeEWN-I1oV_STSDYn1IFDPWt_1FKiwhDph83XaGc0o0/edit?usp=sharing"",""งบพรบ!EF66"")"),0)</f>
        <v>0</v>
      </c>
      <c r="M323" s="92">
        <f ca="1">IFERROR(__xludf.DUMMYFUNCTION("IMPORTRANGE(""https://docs.google.com/spreadsheets/d/1MeEWN-I1oV_STSDYn1IFDPWt_1FKiwhDph83XaGc0o0/edit?usp=sharing"",""งบพรบ!EI66"")"),0)</f>
        <v>0</v>
      </c>
      <c r="N323" s="92">
        <f ca="1">IFERROR(__xludf.DUMMYFUNCTION("IMPORTRANGE(""https://docs.google.com/spreadsheets/d/1MeEWN-I1oV_STSDYn1IFDPWt_1FKiwhDph83XaGc0o0/edit?usp=sharing"",""งบพรบ!EK66"")"),0)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IFERROR(__xludf.DUMMYFUNCTION("IMPORTRANGE(""https://docs.google.com/spreadsheets/d/1QqKyyYR6Q21VydFLVH3TRQUabQu_ym0Zz7PgGX0-kHA/edit?usp=sharing"",""แผน!EF66"")"),0)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IFERROR(__xludf.DUMMYFUNCTION("IMPORTRANGE(""https://docs.google.com/spreadsheets/d/1QqKyyYR6Q21VydFLVH3TRQUabQu_ym0Zz7PgGX0-kHA/edit?usp=sharing"",""แผน!EG66"")"),400)</f>
        <v>400</v>
      </c>
      <c r="J327" s="443">
        <f ca="1">J338+J341+J342+J343</f>
        <v>751</v>
      </c>
      <c r="K327" s="444">
        <f ca="1">IF(I327&gt;0,J327*100/I327,0)</f>
        <v>187.75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IFERROR(__xludf.DUMMYFUNCTION("IMPORTRANGE(""https://docs.google.com/spreadsheets/d/1MeEWN-I1oV_STSDYn1IFDPWt_1FKiwhDph83XaGc0o0/edit?usp=sharing"",""งบพรบ!EM66"")"),157000)</f>
        <v>157000</v>
      </c>
      <c r="M333" s="92">
        <f ca="1">IFERROR(__xludf.DUMMYFUNCTION("IMPORTRANGE(""https://docs.google.com/spreadsheets/d/1MeEWN-I1oV_STSDYn1IFDPWt_1FKiwhDph83XaGc0o0/edit?usp=sharing"",""งบพรบ!ER66"")"),159500)</f>
        <v>159500</v>
      </c>
      <c r="N333" s="92">
        <f ca="1">IFERROR(__xludf.DUMMYFUNCTION("IMPORTRANGE(""https://docs.google.com/spreadsheets/d/1MeEWN-I1oV_STSDYn1IFDPWt_1FKiwhDph83XaGc0o0/edit?usp=sharing"",""งบพรบ!ET66"")"),159500)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IFERROR(__xludf.DUMMYFUNCTION("IMPORTRANGE(""https://docs.google.com/spreadsheets/d/1MeEWN-I1oV_STSDYn1IFDPWt_1FKiwhDph83XaGc0o0/edit?usp=sharing"",""งบพรบ!EP66"")"),0)</f>
        <v>0</v>
      </c>
      <c r="M336" s="92">
        <f ca="1">IFERROR(__xludf.DUMMYFUNCTION("IMPORTRANGE(""https://docs.google.com/spreadsheets/d/1MeEWN-I1oV_STSDYn1IFDPWt_1FKiwhDph83XaGc0o0/edit?usp=sharing"",""งบพรบ!ES66"")"),0)</f>
        <v>0</v>
      </c>
      <c r="N336" s="92">
        <f ca="1">IFERROR(__xludf.DUMMYFUNCTION("IMPORTRANGE(""https://docs.google.com/spreadsheets/d/1MeEWN-I1oV_STSDYn1IFDPWt_1FKiwhDph83XaGc0o0/edit?usp=sharing"",""งบพรบ!EU66"")"),0)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IFERROR(__xludf.DUMMYFUNCTION("IMPORTRANGE(""https://docs.google.com/spreadsheets/d/1QqKyyYR6Q21VydFLVH3TRQUabQu_ym0Zz7PgGX0-kHA/edit?usp=sharing"",""แผน!EG66"")"),400)</f>
        <v>400</v>
      </c>
      <c r="J338" s="269">
        <f ca="1">IFERROR(__xludf.DUMMYFUNCTION("IMPORTRANGE(""https://docs.google.com/spreadsheets/d/1kVcqe37tkHyjCSG3S0O1AXqVkqjo8mSIZil3BcpIysc/edit?usp=sharing"",""ศูนย์!D66"")"),525)</f>
        <v>525</v>
      </c>
      <c r="K338" s="497">
        <f ca="1">IF(I338&gt;0,J338*100/I338,0)</f>
        <v>131.25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IFERROR(__xludf.DUMMYFUNCTION("IMPORTRANGE(""https://docs.google.com/spreadsheets/d/1QqKyyYR6Q21VydFLVH3TRQUabQu_ym0Zz7PgGX0-kHA/edit?usp=sharing"",""แผน!EH66"")"),2)</f>
        <v>2</v>
      </c>
      <c r="J340" s="269">
        <f ca="1">IFERROR(__xludf.DUMMYFUNCTION("IMPORTRANGE(""https://docs.google.com/spreadsheets/d/1kVcqe37tkHyjCSG3S0O1AXqVkqjo8mSIZil3BcpIysc/edit?usp=sharing"",""ศูนย์!E66"")"),4)</f>
        <v>4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IFERROR(__xludf.DUMMYFUNCTION("IMPORTRANGE(""https://docs.google.com/spreadsheets/d/1kVcqe37tkHyjCSG3S0O1AXqVkqjo8mSIZil3BcpIysc/edit?usp=sharing"",""ศูนย์!F66"")"),137)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IFERROR(__xludf.DUMMYFUNCTION("IMPORTRANGE(""https://docs.google.com/spreadsheets/d/1kVcqe37tkHyjCSG3S0O1AXqVkqjo8mSIZil3BcpIysc/edit?usp=sharing"",""ศูนย์!G66"")"),8)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824120</v>
      </c>
      <c r="M345" s="154">
        <f ca="1">M346+M347</f>
        <v>946200</v>
      </c>
      <c r="N345" s="154">
        <f ca="1">N346+N347</f>
        <v>946200</v>
      </c>
      <c r="O345" s="154">
        <f t="shared" ref="O345:O353" ca="1" si="59">IF(L345&gt;0,N345*100/L345,0)</f>
        <v>114.81337669271466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824120</v>
      </c>
      <c r="M347" s="92">
        <f t="shared" ca="1" si="61"/>
        <v>946200</v>
      </c>
      <c r="N347" s="92">
        <f t="shared" ca="1" si="61"/>
        <v>946200</v>
      </c>
      <c r="O347" s="92">
        <f t="shared" ca="1" si="59"/>
        <v>114.81337669271466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611920</v>
      </c>
      <c r="M348" s="497">
        <f ca="1">M349+M350</f>
        <v>734000</v>
      </c>
      <c r="N348" s="497">
        <f ca="1">N349+N350</f>
        <v>734000</v>
      </c>
      <c r="O348" s="497">
        <f t="shared" ca="1" si="59"/>
        <v>119.95032030330762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IFERROR(__xludf.DUMMYFUNCTION("IMPORTRANGE(""https://docs.google.com/spreadsheets/d/1MeEWN-I1oV_STSDYn1IFDPWt_1FKiwhDph83XaGc0o0/edit?usp=sharing"",""งบพรบ!EW66"")"),611920)</f>
        <v>611920</v>
      </c>
      <c r="M350" s="92">
        <f ca="1">IFERROR(__xludf.DUMMYFUNCTION("IMPORTRANGE(""https://docs.google.com/spreadsheets/d/1MeEWN-I1oV_STSDYn1IFDPWt_1FKiwhDph83XaGc0o0/edit?usp=sharing"",""งบพรบ!FB66"")"),734000)</f>
        <v>734000</v>
      </c>
      <c r="N350" s="92">
        <f ca="1">IFERROR(__xludf.DUMMYFUNCTION("IMPORTRANGE(""https://docs.google.com/spreadsheets/d/1MeEWN-I1oV_STSDYn1IFDPWt_1FKiwhDph83XaGc0o0/edit?usp=sharing"",""งบพรบ!FD66"")"),734000)</f>
        <v>734000</v>
      </c>
      <c r="O350" s="92">
        <f t="shared" ca="1" si="59"/>
        <v>119.95032030330762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212200</v>
      </c>
      <c r="M351" s="497">
        <f ca="1">M352+M353</f>
        <v>212200</v>
      </c>
      <c r="N351" s="497">
        <f ca="1">N352+N353</f>
        <v>212200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IFERROR(__xludf.DUMMYFUNCTION("IMPORTRANGE(""https://docs.google.com/spreadsheets/d/1MeEWN-I1oV_STSDYn1IFDPWt_1FKiwhDph83XaGc0o0/edit?usp=sharing"",""งบพรบ!EZ66"")"),212200)</f>
        <v>212200</v>
      </c>
      <c r="M353" s="92">
        <f ca="1">IFERROR(__xludf.DUMMYFUNCTION("IMPORTRANGE(""https://docs.google.com/spreadsheets/d/1MeEWN-I1oV_STSDYn1IFDPWt_1FKiwhDph83XaGc0o0/edit?usp=sharing"",""งบพรบ!FC66"")"),212200)</f>
        <v>212200</v>
      </c>
      <c r="N353" s="92">
        <f ca="1">IFERROR(__xludf.DUMMYFUNCTION("IMPORTRANGE(""https://docs.google.com/spreadsheets/d/1MeEWN-I1oV_STSDYn1IFDPWt_1FKiwhDph83XaGc0o0/edit?usp=sharing"",""งบพรบ!FE66"")"),212200)</f>
        <v>212200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97</v>
      </c>
      <c r="K355" s="465">
        <f ca="1">IF(I355&gt;0,J355*100/I355,0)</f>
        <v>88.181818181818187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IFERROR(__xludf.DUMMYFUNCTION("IMPORTRANGE(""https://docs.google.com/spreadsheets/d/1XWAQStnk-4SwqDmLtmXYiTMKHgktTP8We1SCoS47DrQ/edit?usp=sharing"",""จัดที่ดิน!W66"")"),147)</f>
        <v>147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IFERROR(__xludf.DUMMYFUNCTION("IMPORTRANGE(""https://docs.google.com/spreadsheets/d/1QqKyyYR6Q21VydFLVH3TRQUabQu_ym0Zz7PgGX0-kHA/edit?usp=sharing"",""แผน!EO66"")"),900)</f>
        <v>900</v>
      </c>
      <c r="J359" s="269">
        <f ca="1">IFERROR(__xludf.DUMMYFUNCTION("IMPORTRANGE(""https://docs.google.com/spreadsheets/d/1XWAQStnk-4SwqDmLtmXYiTMKHgktTP8We1SCoS47DrQ/edit?usp=sharing"",""จัดที่ดิน!X66"")"),1465.62)</f>
        <v>1465.62</v>
      </c>
      <c r="K359" s="497">
        <f t="shared" ca="1" si="62"/>
        <v>162.84666666666666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IFERROR(__xludf.DUMMYFUNCTION("IMPORTRANGE(""https://docs.google.com/spreadsheets/d/1QqKyyYR6Q21VydFLVH3TRQUabQu_ym0Zz7PgGX0-kHA/edit?usp=sharing"",""แผน!EP66"")"),110)</f>
        <v>110</v>
      </c>
      <c r="J360" s="269">
        <f ca="1">IFERROR(__xludf.DUMMYFUNCTION("IMPORTRANGE(""https://docs.google.com/spreadsheets/d/1XWAQStnk-4SwqDmLtmXYiTMKHgktTP8We1SCoS47DrQ/edit?usp=sharing"",""จัดที่ดิน!Y66"")"),107)</f>
        <v>107</v>
      </c>
      <c r="K360" s="497">
        <f t="shared" ca="1" si="62"/>
        <v>97.272727272727266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IFERROR(__xludf.DUMMYFUNCTION("IMPORTRANGE(""https://docs.google.com/spreadsheets/d/1XWAQStnk-4SwqDmLtmXYiTMKHgktTP8We1SCoS47DrQ/edit?usp=sharing"",""จัดที่ดิน!Z66"")"),1010.17)</f>
        <v>1010.17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IFERROR(__xludf.DUMMYFUNCTION("IMPORTRANGE(""https://docs.google.com/spreadsheets/d/1QqKyyYR6Q21VydFLVH3TRQUabQu_ym0Zz7PgGX0-kHA/edit?usp=sharing"",""แผน!EP66"")"),110)</f>
        <v>110</v>
      </c>
      <c r="J362" s="269">
        <f ca="1">IFERROR(__xludf.DUMMYFUNCTION("IMPORTRANGE(""https://docs.google.com/spreadsheets/d/1XWAQStnk-4SwqDmLtmXYiTMKHgktTP8We1SCoS47DrQ/edit?usp=sharing"",""จัดที่ดิน!AA66"")"),97)</f>
        <v>97</v>
      </c>
      <c r="K362" s="497">
        <f t="shared" ca="1" si="62"/>
        <v>88.181818181818187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IFERROR(__xludf.DUMMYFUNCTION("IMPORTRANGE(""https://docs.google.com/spreadsheets/d/1XWAQStnk-4SwqDmLtmXYiTMKHgktTP8We1SCoS47DrQ/edit?usp=sharing"",""จัดที่ดิน!AB66"")"),974.64)</f>
        <v>974.64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160</v>
      </c>
      <c r="J364" s="478">
        <f ca="1">J365+J374</f>
        <v>165</v>
      </c>
      <c r="K364" s="479">
        <f t="shared" ca="1" si="62"/>
        <v>103.125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13</v>
      </c>
      <c r="K365" s="491">
        <f t="shared" ca="1" si="62"/>
        <v>130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IFERROR(__xludf.DUMMYFUNCTION("IMPORTRANGE(""https://docs.google.com/spreadsheets/d/1XWAQStnk-4SwqDmLtmXYiTMKHgktTP8We1SCoS47DrQ/edit?usp=sharing"",""จัดที่ดิน!E66"")"),32)</f>
        <v>32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IFERROR(__xludf.DUMMYFUNCTION("IMPORTRANGE(""https://docs.google.com/spreadsheets/d/1QqKyyYR6Q21VydFLVH3TRQUabQu_ym0Zz7PgGX0-kHA/edit?usp=sharing"",""แผน!EI66"")"),100)</f>
        <v>100</v>
      </c>
      <c r="J369" s="269">
        <f ca="1">IFERROR(__xludf.DUMMYFUNCTION("IMPORTRANGE(""https://docs.google.com/spreadsheets/d/1XWAQStnk-4SwqDmLtmXYiTMKHgktTP8We1SCoS47DrQ/edit?usp=sharing"",""จัดที่ดิน!F66"")"),369.98)</f>
        <v>369.98</v>
      </c>
      <c r="K369" s="497">
        <f t="shared" ca="1" si="63"/>
        <v>369.98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IFERROR(__xludf.DUMMYFUNCTION("IMPORTRANGE(""https://docs.google.com/spreadsheets/d/1QqKyyYR6Q21VydFLVH3TRQUabQu_ym0Zz7PgGX0-kHA/edit?usp=sharing"",""แผน!EJ66"")"),10)</f>
        <v>10</v>
      </c>
      <c r="J370" s="269">
        <f ca="1">IFERROR(__xludf.DUMMYFUNCTION("IMPORTRANGE(""https://docs.google.com/spreadsheets/d/1XWAQStnk-4SwqDmLtmXYiTMKHgktTP8We1SCoS47DrQ/edit?usp=sharing"",""จัดที่ดิน!G66"")"),17)</f>
        <v>17</v>
      </c>
      <c r="K370" s="497">
        <f t="shared" ca="1" si="63"/>
        <v>170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IFERROR(__xludf.DUMMYFUNCTION("IMPORTRANGE(""https://docs.google.com/spreadsheets/d/1XWAQStnk-4SwqDmLtmXYiTMKHgktTP8We1SCoS47DrQ/edit?usp=sharing"",""จัดที่ดิน!H66"")"),166.47)</f>
        <v>166.47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IFERROR(__xludf.DUMMYFUNCTION("IMPORTRANGE(""https://docs.google.com/spreadsheets/d/1QqKyyYR6Q21VydFLVH3TRQUabQu_ym0Zz7PgGX0-kHA/edit?usp=sharing"",""แผน!EJ66"")"),10)</f>
        <v>10</v>
      </c>
      <c r="J372" s="269">
        <f ca="1">IFERROR(__xludf.DUMMYFUNCTION("IMPORTRANGE(""https://docs.google.com/spreadsheets/d/1XWAQStnk-4SwqDmLtmXYiTMKHgktTP8We1SCoS47DrQ/edit?usp=sharing"",""จัดที่ดิน!I66"")"),13)</f>
        <v>13</v>
      </c>
      <c r="K372" s="497">
        <f t="shared" ca="1" si="63"/>
        <v>130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IFERROR(__xludf.DUMMYFUNCTION("IMPORTRANGE(""https://docs.google.com/spreadsheets/d/1XWAQStnk-4SwqDmLtmXYiTMKHgktTP8We1SCoS47DrQ/edit?usp=sharing"",""จัดที่ดิน!J66"")"),117.24)</f>
        <v>117.24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152</v>
      </c>
      <c r="K374" s="491">
        <f t="shared" ca="1" si="63"/>
        <v>101.33333333333333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IFERROR(__xludf.DUMMYFUNCTION("IMPORTRANGE(""https://docs.google.com/spreadsheets/d/1XWAQStnk-4SwqDmLtmXYiTMKHgktTP8We1SCoS47DrQ/edit?usp=sharing"",""จัดที่ดิน!AH66"")"),115)</f>
        <v>115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IFERROR(__xludf.DUMMYFUNCTION("IMPORTRANGE(""https://docs.google.com/spreadsheets/d/1QqKyyYR6Q21VydFLVH3TRQUabQu_ym0Zz7PgGX0-kHA/edit?usp=sharing"",""แผน!ET66"")"),800)</f>
        <v>800</v>
      </c>
      <c r="J378" s="269">
        <f ca="1">IFERROR(__xludf.DUMMYFUNCTION("IMPORTRANGE(""https://docs.google.com/spreadsheets/d/1XWAQStnk-4SwqDmLtmXYiTMKHgktTP8We1SCoS47DrQ/edit?usp=sharing"",""จัดที่ดิน!AI66"")"),1095.64)</f>
        <v>1095.6400000000001</v>
      </c>
      <c r="K378" s="497">
        <f t="shared" ca="1" si="64"/>
        <v>136.95500000000001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IFERROR(__xludf.DUMMYFUNCTION("IMPORTRANGE(""https://docs.google.com/spreadsheets/d/1QqKyyYR6Q21VydFLVH3TRQUabQu_ym0Zz7PgGX0-kHA/edit?usp=sharing"",""แผน!EU66"")"),150)</f>
        <v>150</v>
      </c>
      <c r="J379" s="269">
        <f ca="1">IFERROR(__xludf.DUMMYFUNCTION("IMPORTRANGE(""https://docs.google.com/spreadsheets/d/1XWAQStnk-4SwqDmLtmXYiTMKHgktTP8We1SCoS47DrQ/edit?usp=sharing"",""จัดที่ดิน!AJ66"")"),163)</f>
        <v>163</v>
      </c>
      <c r="K379" s="497">
        <f t="shared" ca="1" si="64"/>
        <v>108.66666666666667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IFERROR(__xludf.DUMMYFUNCTION("IMPORTRANGE(""https://docs.google.com/spreadsheets/d/1XWAQStnk-4SwqDmLtmXYiTMKHgktTP8We1SCoS47DrQ/edit?usp=sharing"",""จัดที่ดิน!AK66"")"),1767.67)</f>
        <v>1767.67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IFERROR(__xludf.DUMMYFUNCTION("IMPORTRANGE(""https://docs.google.com/spreadsheets/d/1QqKyyYR6Q21VydFLVH3TRQUabQu_ym0Zz7PgGX0-kHA/edit?usp=sharing"",""แผน!EU66"")"),150)</f>
        <v>150</v>
      </c>
      <c r="J381" s="269">
        <f ca="1">IFERROR(__xludf.DUMMYFUNCTION("IMPORTRANGE(""https://docs.google.com/spreadsheets/d/1XWAQStnk-4SwqDmLtmXYiTMKHgktTP8We1SCoS47DrQ/edit?usp=sharing"",""จัดที่ดิน!AL66"")"),152)</f>
        <v>152</v>
      </c>
      <c r="K381" s="497">
        <f t="shared" ca="1" si="64"/>
        <v>101.33333333333333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IFERROR(__xludf.DUMMYFUNCTION("IMPORTRANGE(""https://docs.google.com/spreadsheets/d/1XWAQStnk-4SwqDmLtmXYiTMKHgktTP8We1SCoS47DrQ/edit?usp=sharing"",""จัดที่ดิน!AM66"")"),1682.32)</f>
        <v>1682.32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IFERROR(__xludf.DUMMYFUNCTION("IMPORTRANGE(""https://docs.google.com/spreadsheets/d/1MeEWN-I1oV_STSDYn1IFDPWt_1FKiwhDph83XaGc0o0/edit?usp=sharing"",""งบพรบ!FG66"")"),0)</f>
        <v>0</v>
      </c>
      <c r="M394" s="92">
        <f ca="1">IFERROR(__xludf.DUMMYFUNCTION("IMPORTRANGE(""https://docs.google.com/spreadsheets/d/1MeEWN-I1oV_STSDYn1IFDPWt_1FKiwhDph83XaGc0o0/edit?usp=sharing"",""งบพรบ!FL66"")"),0)</f>
        <v>0</v>
      </c>
      <c r="N394" s="92">
        <f ca="1">IFERROR(__xludf.DUMMYFUNCTION("IMPORTRANGE(""https://docs.google.com/spreadsheets/d/1MeEWN-I1oV_STSDYn1IFDPWt_1FKiwhDph83XaGc0o0/edit?usp=sharing"",""งบพรบ!FN66"")"),0)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IFERROR(__xludf.DUMMYFUNCTION("IMPORTRANGE(""https://docs.google.com/spreadsheets/d/1MeEWN-I1oV_STSDYn1IFDPWt_1FKiwhDph83XaGc0o0/edit?usp=sharing"",""งบพรบ!FJ66"")"),0)</f>
        <v>0</v>
      </c>
      <c r="M397" s="92">
        <f ca="1">IFERROR(__xludf.DUMMYFUNCTION("IMPORTRANGE(""https://docs.google.com/spreadsheets/d/1MeEWN-I1oV_STSDYn1IFDPWt_1FKiwhDph83XaGc0o0/edit?usp=sharing"",""งบพรบ!FM66"")"),0)</f>
        <v>0</v>
      </c>
      <c r="N397" s="92">
        <f ca="1">IFERROR(__xludf.DUMMYFUNCTION("IMPORTRANGE(""https://docs.google.com/spreadsheets/d/1MeEWN-I1oV_STSDYn1IFDPWt_1FKiwhDph83XaGc0o0/edit?usp=sharing"",""งบพรบ!FO66"")"),0)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IFERROR(__xludf.DUMMYFUNCTION("IMPORTRANGE(""https://docs.google.com/spreadsheets/d/1MeEWN-I1oV_STSDYn1IFDPWt_1FKiwhDph83XaGc0o0/edit?usp=sharing"",""งบพรบ!FQ66"")"),0)</f>
        <v>0</v>
      </c>
      <c r="M407" s="92">
        <f ca="1">IFERROR(__xludf.DUMMYFUNCTION("IMPORTRANGE(""https://docs.google.com/spreadsheets/d/1MeEWN-I1oV_STSDYn1IFDPWt_1FKiwhDph83XaGc0o0/edit?usp=sharing"",""งบพรบ!FV66"")"),0)</f>
        <v>0</v>
      </c>
      <c r="N407" s="92">
        <f ca="1">IFERROR(__xludf.DUMMYFUNCTION("IMPORTRANGE(""https://docs.google.com/spreadsheets/d/1MeEWN-I1oV_STSDYn1IFDPWt_1FKiwhDph83XaGc0o0/edit?usp=sharing"",""งบพรบ!FX66"")"),0)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IFERROR(__xludf.DUMMYFUNCTION("IMPORTRANGE(""https://docs.google.com/spreadsheets/d/1MeEWN-I1oV_STSDYn1IFDPWt_1FKiwhDph83XaGc0o0/edit?usp=sharing"",""งบพรบ!FT66"")"),0)</f>
        <v>0</v>
      </c>
      <c r="M410" s="92">
        <f ca="1">IFERROR(__xludf.DUMMYFUNCTION("IMPORTRANGE(""https://docs.google.com/spreadsheets/d/1MeEWN-I1oV_STSDYn1IFDPWt_1FKiwhDph83XaGc0o0/edit?usp=sharing"",""งบพรบ!FW66"")"),0)</f>
        <v>0</v>
      </c>
      <c r="N410" s="92">
        <f ca="1">IFERROR(__xludf.DUMMYFUNCTION("IMPORTRANGE(""https://docs.google.com/spreadsheets/d/1MeEWN-I1oV_STSDYn1IFDPWt_1FKiwhDph83XaGc0o0/edit?usp=sharing"",""งบพรบ!FY66"")"),0)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830653</v>
      </c>
      <c r="M414" s="549">
        <f ca="1">M419+M444+M467+M502+M523+M544+M629+M655+M685+M737+M754+M770+M786+M805</f>
        <v>730317</v>
      </c>
      <c r="N414" s="549">
        <f>N419+N444+N467+N502+N523+N544+N629+N655+N685+N737+N754+N770+N786+N805</f>
        <v>730317</v>
      </c>
      <c r="O414" s="549">
        <f ca="1">IF(L414&gt;0,N414*100/L414,0)</f>
        <v>87.92082855295773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66760</v>
      </c>
      <c r="M419" s="154">
        <f ca="1">M420+M421</f>
        <v>93260</v>
      </c>
      <c r="N419" s="154">
        <f>N420+N421</f>
        <v>93260</v>
      </c>
      <c r="O419" s="154">
        <f t="shared" ref="O419:O424" ca="1" si="71">IF(L419&gt;0,N419*100/L419,0)</f>
        <v>139.69442780107849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66760</v>
      </c>
      <c r="M421" s="92">
        <f t="shared" ca="1" si="73"/>
        <v>93260</v>
      </c>
      <c r="N421" s="92">
        <f t="shared" si="73"/>
        <v>93260</v>
      </c>
      <c r="O421" s="92">
        <f t="shared" ca="1" si="71"/>
        <v>139.69442780107849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66760</v>
      </c>
      <c r="M422" s="497">
        <f ca="1">M423+M424</f>
        <v>93260</v>
      </c>
      <c r="N422" s="497">
        <f>N423+N424</f>
        <v>93260</v>
      </c>
      <c r="O422" s="497">
        <f t="shared" ca="1" si="71"/>
        <v>139.69442780107849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IFERROR(__xludf.DUMMYFUNCTION("IMPORTRANGE(""https://docs.google.com/spreadsheets/d/1QqKyyYR6Q21VydFLVH3TRQUabQu_ym0Zz7PgGX0-kHA/edit?usp=sharing"",""แผน!EY66"")"),66760)</f>
        <v>66760</v>
      </c>
      <c r="M424" s="92">
        <f ca="1">L424+5000+7300+14200</f>
        <v>93260</v>
      </c>
      <c r="N424" s="92">
        <f>N425+N426+N427+N428</f>
        <v>93260</v>
      </c>
      <c r="O424" s="92">
        <f t="shared" ca="1" si="71"/>
        <v>139.69442780107849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45240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48020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IFERROR(__xludf.DUMMYFUNCTION("IMPORTRANGE(""https://docs.google.com/spreadsheets/d/1QqKyyYR6Q21VydFLVH3TRQUabQu_ym0Zz7PgGX0-kHA/edit?usp=sharing"",""แผน!FE66"")"),0)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IFERROR(__xludf.DUMMYFUNCTION("IMPORTRANGE(""https://docs.google.com/spreadsheets/d/1QqKyyYR6Q21VydFLVH3TRQUabQu_ym0Zz7PgGX0-kHA/edit?usp=sharing"",""แผน!FG66"")"),1)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IFERROR(__xludf.DUMMYFUNCTION("IMPORTRANGE(""https://docs.google.com/spreadsheets/d/1QqKyyYR6Q21VydFLVH3TRQUabQu_ym0Zz7PgGX0-kHA/edit?usp=sharing"",""แผน!FH66"")"),0)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30</v>
      </c>
      <c r="J442" s="585">
        <f>J460</f>
        <v>30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100</v>
      </c>
      <c r="J443" s="565">
        <f>J462</f>
        <v>100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180080</v>
      </c>
      <c r="M444" s="194">
        <f ca="1">M445+M446</f>
        <v>179620</v>
      </c>
      <c r="N444" s="194">
        <f>N445+N446</f>
        <v>179620</v>
      </c>
      <c r="O444" s="194">
        <f t="shared" ref="O444:O449" ca="1" si="75">IF(L444&gt;0,N444*100/L444,0)</f>
        <v>99.744557974233672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180080</v>
      </c>
      <c r="M446" s="92">
        <f t="shared" ca="1" si="77"/>
        <v>179620</v>
      </c>
      <c r="N446" s="92">
        <f t="shared" si="77"/>
        <v>179620</v>
      </c>
      <c r="O446" s="92">
        <f t="shared" ca="1" si="75"/>
        <v>99.744557974233672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180080</v>
      </c>
      <c r="M447" s="497">
        <f ca="1">M448+M449</f>
        <v>179620</v>
      </c>
      <c r="N447" s="497">
        <f>N448+N449</f>
        <v>179620</v>
      </c>
      <c r="O447" s="497">
        <f t="shared" ca="1" si="75"/>
        <v>99.744557974233672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IFERROR(__xludf.DUMMYFUNCTION("IMPORTRANGE(""https://docs.google.com/spreadsheets/d/1QqKyyYR6Q21VydFLVH3TRQUabQu_ym0Zz7PgGX0-kHA/edit?usp=sharing"",""แผน!FJ66"")"),180080)</f>
        <v>180080</v>
      </c>
      <c r="M449" s="92">
        <f ca="1">L449-460</f>
        <v>179620</v>
      </c>
      <c r="N449" s="92">
        <f>N450+N451+N452+N453</f>
        <v>179620</v>
      </c>
      <c r="O449" s="92">
        <f t="shared" ca="1" si="75"/>
        <v>99.744557974233672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50560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114383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14677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IFERROR(__xludf.DUMMYFUNCTION("IMPORTRANGE(""https://docs.google.com/spreadsheets/d/1QqKyyYR6Q21VydFLVH3TRQUabQu_ym0Zz7PgGX0-kHA/edit?usp=sharing"",""แผน!FN66"")"),30)</f>
        <v>30</v>
      </c>
      <c r="J460" s="214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IFERROR(__xludf.DUMMYFUNCTION("IMPORTRANGE(""https://docs.google.com/spreadsheets/d/1QqKyyYR6Q21VydFLVH3TRQUabQu_ym0Zz7PgGX0-kHA/edit?usp=sharing"",""แผน!FO66"")"),100)</f>
        <v>100</v>
      </c>
      <c r="J462" s="214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IFERROR(__xludf.DUMMYFUNCTION("IMPORTRANGE(""https://docs.google.com/spreadsheets/d/1QqKyyYR6Q21VydFLVH3TRQUabQu_ym0Zz7PgGX0-kHA/edit?usp=sharing"",""แผน!FO66"")"),100)</f>
        <v>100</v>
      </c>
      <c r="J463" s="214">
        <v>100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IFERROR(__xludf.DUMMYFUNCTION("IMPORTRANGE(""https://docs.google.com/spreadsheets/d/1QqKyyYR6Q21VydFLVH3TRQUabQu_ym0Zz7PgGX0-kHA/edit?usp=sharing"",""แผน!FN66"")"),30)</f>
        <v>30</v>
      </c>
      <c r="J464" s="214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174403</v>
      </c>
      <c r="M467" s="194">
        <f ca="1">M468+M469</f>
        <v>180043</v>
      </c>
      <c r="N467" s="194">
        <f>N468+N469</f>
        <v>180043</v>
      </c>
      <c r="O467" s="194">
        <f t="shared" ref="O467:O472" ca="1" si="78">IF(L467&gt;0,N467*100/L467,0)</f>
        <v>103.23388932529831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174403</v>
      </c>
      <c r="M469" s="92">
        <f t="shared" ca="1" si="80"/>
        <v>180043</v>
      </c>
      <c r="N469" s="92">
        <f t="shared" si="80"/>
        <v>180043</v>
      </c>
      <c r="O469" s="92">
        <f t="shared" ca="1" si="78"/>
        <v>103.23388932529831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174403</v>
      </c>
      <c r="M470" s="497">
        <f ca="1">M471+M472</f>
        <v>180043</v>
      </c>
      <c r="N470" s="497">
        <f>N471+N472</f>
        <v>180043</v>
      </c>
      <c r="O470" s="497">
        <f t="shared" ca="1" si="78"/>
        <v>103.23388932529831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IFERROR(__xludf.DUMMYFUNCTION("IMPORTRANGE(""https://docs.google.com/spreadsheets/d/1QqKyyYR6Q21VydFLVH3TRQUabQu_ym0Zz7PgGX0-kHA/edit?usp=sharing"",""แผน!FS66"")"),174403)</f>
        <v>174403</v>
      </c>
      <c r="M472" s="92">
        <f ca="1">L472+5640</f>
        <v>180043</v>
      </c>
      <c r="N472" s="92">
        <f>N473+N474+N475+N476</f>
        <v>180043</v>
      </c>
      <c r="O472" s="92">
        <f t="shared" ca="1" si="78"/>
        <v>103.23388932529831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25823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140100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14120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IFERROR(__xludf.DUMMYFUNCTION("IMPORTRANGE(""https://docs.google.com/spreadsheets/d/1QqKyyYR6Q21VydFLVH3TRQUabQu_ym0Zz7PgGX0-kHA/edit?usp=sharing"",""แผน!FY66"")"),180)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IFERROR(__xludf.DUMMYFUNCTION("IMPORTRANGE(""https://docs.google.com/spreadsheets/d/1QqKyyYR6Q21VydFLVH3TRQUabQu_ym0Zz7PgGX0-kHA/edit?usp=sharing"",""แผน!FZ66"")"),18)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IFERROR(__xludf.DUMMYFUNCTION("IMPORTRANGE(""https://docs.google.com/spreadsheets/d/1QqKyyYR6Q21VydFLVH3TRQUabQu_ym0Zz7PgGX0-kHA/edit?usp=sharing"",""แผน!GA66"")"),20)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IFERROR(__xludf.DUMMYFUNCTION("IMPORTRANGE(""https://docs.google.com/spreadsheets/d/1QqKyyYR6Q21VydFLVH3TRQUabQu_ym0Zz7PgGX0-kHA/edit?usp=sharing"",""แผน!GB66"")"),2)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IFERROR(__xludf.DUMMYFUNCTION("IMPORTRANGE(""https://docs.google.com/spreadsheets/d/1QqKyyYR6Q21VydFLVH3TRQUabQu_ym0Zz7PgGX0-kHA/edit?usp=sharing"",""แผน!FY66"")"),180)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IFERROR(__xludf.DUMMYFUNCTION("IMPORTRANGE(""https://docs.google.com/spreadsheets/d/1QqKyyYR6Q21VydFLVH3TRQUabQu_ym0Zz7PgGX0-kHA/edit?usp=sharing"",""แผน!GA66"")"),20)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IFERROR(__xludf.DUMMYFUNCTION("IMPORTRANGE(""https://docs.google.com/spreadsheets/d/1QqKyyYR6Q21VydFLVH3TRQUabQu_ym0Zz7PgGX0-kHA/edit?usp=sharing"",""แผน!GQ66"")"),0)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IFERROR(__xludf.DUMMYFUNCTION("IMPORTRANGE(""https://docs.google.com/spreadsheets/d/1QqKyyYR6Q21VydFLVH3TRQUabQu_ym0Zz7PgGX0-kHA/edit?usp=sharing"",""แผน!GV66"")"),0)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IFERROR(__xludf.DUMMYFUNCTION("IMPORTRANGE(""https://docs.google.com/spreadsheets/d/1QqKyyYR6Q21VydFLVH3TRQUabQu_ym0Zz7PgGX0-kHA/edit?usp=sharing"",""แผน!GW66"")"),0)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IFERROR(__xludf.DUMMYFUNCTION("IMPORTRANGE(""https://docs.google.com/spreadsheets/d/1QqKyyYR6Q21VydFLVH3TRQUabQu_ym0Zz7PgGX0-kHA/edit?usp=sharing"",""แผน!GX66"")"),0)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IFERROR(__xludf.DUMMYFUNCTION("IMPORTRANGE(""https://docs.google.com/spreadsheets/d/1QqKyyYR6Q21VydFLVH3TRQUabQu_ym0Zz7PgGX0-kHA/edit?usp=sharing"",""แผน!GY66"")"),0)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IFERROR(__xludf.DUMMYFUNCTION("IMPORTRANGE(""https://docs.google.com/spreadsheets/d/1QqKyyYR6Q21VydFLVH3TRQUabQu_ym0Zz7PgGX0-kHA/edit?usp=sharing"",""แผน!GZ66"")"),0)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236000</v>
      </c>
      <c r="M544" s="154">
        <f ca="1">M545+M546</f>
        <v>232094</v>
      </c>
      <c r="N544" s="154">
        <f>N545+N546</f>
        <v>232094</v>
      </c>
      <c r="O544" s="154">
        <f t="shared" ref="O544:O549" ca="1" si="88">IF(L544&gt;0,N544*100/L544,0)</f>
        <v>98.344915254237293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236000</v>
      </c>
      <c r="M546" s="92">
        <f ca="1">M549+M556</f>
        <v>232094</v>
      </c>
      <c r="N546" s="92">
        <f>N549+N556</f>
        <v>232094</v>
      </c>
      <c r="O546" s="92">
        <f t="shared" ca="1" si="88"/>
        <v>98.344915254237293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236000</v>
      </c>
      <c r="M547" s="497">
        <f ca="1">M548+M549</f>
        <v>232094</v>
      </c>
      <c r="N547" s="497">
        <f>N548+N549</f>
        <v>232094</v>
      </c>
      <c r="O547" s="497">
        <f t="shared" ca="1" si="88"/>
        <v>98.344915254237293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IFERROR(__xludf.DUMMYFUNCTION("IMPORTRANGE(""https://docs.google.com/spreadsheets/d/1QqKyyYR6Q21VydFLVH3TRQUabQu_ym0Zz7PgGX0-kHA/edit?usp=sharing"",""แผน!HB66"")"),236000)</f>
        <v>236000</v>
      </c>
      <c r="M549" s="92">
        <f ca="1">L549-2604-1302</f>
        <v>232094</v>
      </c>
      <c r="N549" s="92">
        <f>N550+N551+N552+N553+N554</f>
        <v>232094</v>
      </c>
      <c r="O549" s="92">
        <f t="shared" ca="1" si="88"/>
        <v>98.344915254237293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79940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139094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13060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IFERROR(__xludf.DUMMYFUNCTION("IMPORTRANGE(""https://docs.google.com/spreadsheets/d/1QqKyyYR6Q21VydFLVH3TRQUabQu_ym0Zz7PgGX0-kHA/edit?usp=sharing"",""แผน!HH66"")"),0)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IFERROR(__xludf.DUMMYFUNCTION("IMPORTRANGE(""https://docs.google.com/spreadsheets/d/1QqKyyYR6Q21VydFLVH3TRQUabQu_ym0Zz7PgGX0-kHA/edit?usp=sharing"",""แผน!HG66"")"),0)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IFERROR(__xludf.DUMMYFUNCTION("IMPORTRANGE(""https://docs.google.com/spreadsheets/d/1QqKyyYR6Q21VydFLVH3TRQUabQu_ym0Zz7PgGX0-kHA/edit?usp=sharing"",""แผน!HH66"")"),0)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IFERROR(__xludf.DUMMYFUNCTION("IMPORTRANGE(""https://docs.google.com/spreadsheets/d/1QqKyyYR6Q21VydFLVH3TRQUabQu_ym0Zz7PgGX0-kHA/edit?usp=sharing"",""แผน!HG66"")"),0)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IFERROR(__xludf.DUMMYFUNCTION("IMPORTRANGE(""https://docs.google.com/spreadsheets/d/1QqKyyYR6Q21VydFLVH3TRQUabQu_ym0Zz7PgGX0-kHA/edit?usp=sharing"",""แผน!HH66"")"),0)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IFERROR(__xludf.DUMMYFUNCTION("IMPORTRANGE(""https://docs.google.com/spreadsheets/d/1QqKyyYR6Q21VydFLVH3TRQUabQu_ym0Zz7PgGX0-kHA/edit?usp=sharing"",""แผน!HG66"")"),0)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1292.23</v>
      </c>
      <c r="J592" s="703">
        <f>J593</f>
        <v>1292.45</v>
      </c>
      <c r="K592" s="672">
        <f ca="1">IF(I592&gt;0,J592*100/I592,0)</f>
        <v>100.01702483304055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2">
        <f>J595+J603+J609</f>
        <v>1292.45</v>
      </c>
      <c r="K593" s="410">
        <f ca="1">IF(I593&gt;0,J593*100/I593,0)</f>
        <v>100.01702483304055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IFERROR(__xludf.DUMMYFUNCTION("IMPORTRANGE(""https://docs.google.com/spreadsheets/d/1QqKyyYR6Q21VydFLVH3TRQUabQu_ym0Zz7PgGX0-kHA/edit?usp=sharing"",""แผน!HI66"")"),80)</f>
        <v>80</v>
      </c>
      <c r="J594" s="192">
        <f>J596+J604+J610</f>
        <v>80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369.45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21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324.45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19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45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2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923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59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923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59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19</v>
      </c>
      <c r="J628" s="736">
        <f ca="1">J651</f>
        <v>20</v>
      </c>
      <c r="K628" s="737">
        <f ca="1">IF(I628&gt;0,J628*100/I628,0)</f>
        <v>105.26315789473684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173410</v>
      </c>
      <c r="M629" s="194">
        <f ca="1">M630+M631</f>
        <v>45300</v>
      </c>
      <c r="N629" s="194">
        <f>N630+N631</f>
        <v>45300</v>
      </c>
      <c r="O629" s="194">
        <f t="shared" ref="O629:O634" ca="1" si="90">IF(L629&gt;0,N629*100/L629,0)</f>
        <v>26.123060953808892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173410</v>
      </c>
      <c r="M631" s="92">
        <f t="shared" ca="1" si="92"/>
        <v>45300</v>
      </c>
      <c r="N631" s="92">
        <f t="shared" si="92"/>
        <v>45300</v>
      </c>
      <c r="O631" s="92">
        <f t="shared" ca="1" si="90"/>
        <v>26.123060953808892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173410</v>
      </c>
      <c r="M632" s="497">
        <f ca="1">M633+M634</f>
        <v>45300</v>
      </c>
      <c r="N632" s="497">
        <f>N633+N634</f>
        <v>45300</v>
      </c>
      <c r="O632" s="497">
        <f t="shared" ca="1" si="90"/>
        <v>26.123060953808892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IFERROR(__xludf.DUMMYFUNCTION("IMPORTRANGE(""https://docs.google.com/spreadsheets/d/1QqKyyYR6Q21VydFLVH3TRQUabQu_ym0Zz7PgGX0-kHA/edit?usp=sharing"",""แผน!HN66"")"),173410)</f>
        <v>173410</v>
      </c>
      <c r="M634" s="92">
        <f ca="1">L634-128110</f>
        <v>45300</v>
      </c>
      <c r="N634" s="92">
        <f>N635+N636+N637+N638</f>
        <v>45300</v>
      </c>
      <c r="O634" s="92">
        <f t="shared" ca="1" si="90"/>
        <v>26.123060953808892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30000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15300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IFERROR(__xludf.DUMMYFUNCTION("IMPORTRANGE(""https://docs.google.com/spreadsheets/d/1QqKyyYR6Q21VydFLVH3TRQUabQu_ym0Zz7PgGX0-kHA/edit?usp=sharing"",""แผน!HR66"")"),1)</f>
        <v>1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IFERROR(__xludf.DUMMYFUNCTION("IMPORTRANGE(""https://docs.google.com/spreadsheets/d/1QqKyyYR6Q21VydFLVH3TRQUabQu_ym0Zz7PgGX0-kHA/edit?usp=sharing"",""แผน!HR66"")"),1)</f>
        <v>1</v>
      </c>
      <c r="J644" s="214">
        <v>1</v>
      </c>
      <c r="K644" s="162">
        <f t="shared" ca="1" si="93"/>
        <v>100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IFERROR(__xludf.DUMMYFUNCTION("IMPORTRANGE(""https://docs.google.com/spreadsheets/d/1XWAQStnk-4SwqDmLtmXYiTMKHgktTP8We1SCoS47DrQ/edit?usp=sharing"",""จัดที่ดิน!AS66"")"),26)</f>
        <v>26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IFERROR(__xludf.DUMMYFUNCTION("IMPORTRANGE(""https://docs.google.com/spreadsheets/d/1XWAQStnk-4SwqDmLtmXYiTMKHgktTP8We1SCoS47DrQ/edit?usp=sharing"",""จัดที่ดิน!AT66"")"),14.04)</f>
        <v>14.04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IFERROR(__xludf.DUMMYFUNCTION("IMPORTRANGE(""https://docs.google.com/spreadsheets/d/1QqKyyYR6Q21VydFLVH3TRQUabQu_ym0Zz7PgGX0-kHA/edit?usp=sharing"",""แผน!HS66"")"),19)</f>
        <v>19</v>
      </c>
      <c r="J647" s="269">
        <f ca="1">IFERROR(__xludf.DUMMYFUNCTION("IMPORTRANGE(""https://docs.google.com/spreadsheets/d/1XWAQStnk-4SwqDmLtmXYiTMKHgktTP8We1SCoS47DrQ/edit?usp=sharing"",""จัดที่ดิน!AU66"")"),20)</f>
        <v>20</v>
      </c>
      <c r="K647" s="162">
        <f t="shared" ca="1" si="93"/>
        <v>105.26315789473684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IFERROR(__xludf.DUMMYFUNCTION("IMPORTRANGE(""https://docs.google.com/spreadsheets/d/1XWAQStnk-4SwqDmLtmXYiTMKHgktTP8We1SCoS47DrQ/edit?usp=sharing"",""จัดที่ดิน!AV66"")"),6.96)</f>
        <v>6.96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IFERROR(__xludf.DUMMYFUNCTION("IMPORTRANGE(""https://docs.google.com/spreadsheets/d/1QqKyyYR6Q21VydFLVH3TRQUabQu_ym0Zz7PgGX0-kHA/edit?usp=sharing"",""แผน!HS66"")"),19)</f>
        <v>19</v>
      </c>
      <c r="J649" s="269">
        <f ca="1">IFERROR(__xludf.DUMMYFUNCTION("IMPORTRANGE(""https://docs.google.com/spreadsheets/d/1XWAQStnk-4SwqDmLtmXYiTMKHgktTP8We1SCoS47DrQ/edit?usp=sharing"",""จัดที่ดิน!AW66"")"),20)</f>
        <v>20</v>
      </c>
      <c r="K649" s="162">
        <f t="shared" ca="1" si="93"/>
        <v>105.26315789473684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IFERROR(__xludf.DUMMYFUNCTION("IMPORTRANGE(""https://docs.google.com/spreadsheets/d/1XWAQStnk-4SwqDmLtmXYiTMKHgktTP8We1SCoS47DrQ/edit?usp=sharing"",""จัดที่ดิน!AX66"")"),6.96)</f>
        <v>6.96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IFERROR(__xludf.DUMMYFUNCTION("IMPORTRANGE(""https://docs.google.com/spreadsheets/d/1QqKyyYR6Q21VydFLVH3TRQUabQu_ym0Zz7PgGX0-kHA/edit?usp=sharing"",""แผน!HS66"")"),19)</f>
        <v>19</v>
      </c>
      <c r="J651" s="269">
        <f ca="1">IFERROR(__xludf.DUMMYFUNCTION("IMPORTRANGE(""https://docs.google.com/spreadsheets/d/1XWAQStnk-4SwqDmLtmXYiTMKHgktTP8We1SCoS47DrQ/edit?usp=sharing"",""จัดที่ดิน!AY66"")"),20)</f>
        <v>20</v>
      </c>
      <c r="K651" s="162">
        <f t="shared" ca="1" si="93"/>
        <v>105.26315789473684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IFERROR(__xludf.DUMMYFUNCTION("IMPORTRANGE(""https://docs.google.com/spreadsheets/d/1XWAQStnk-4SwqDmLtmXYiTMKHgktTP8We1SCoS47DrQ/edit?usp=sharing"",""จัดที่ดิน!AZ66"")"),6.9625)</f>
        <v>6.9625000000000004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IFERROR(__xludf.DUMMYFUNCTION("IMPORTRANGE(""https://docs.google.com/spreadsheets/d/1QqKyyYR6Q21VydFLVH3TRQUabQu_ym0Zz7PgGX0-kHA/edit?usp=sharing"",""แผน!HV66"")"),0)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IFERROR(__xludf.DUMMYFUNCTION("IMPORTRANGE(""https://docs.google.com/spreadsheets/d/1QqKyyYR6Q21VydFLVH3TRQUabQu_ym0Zz7PgGX0-kHA/edit?usp=sharing"",""แผน!HZ66"")"),0)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IFERROR(__xludf.DUMMYFUNCTION("IMPORTRANGE(""https://docs.google.com/spreadsheets/d/1QqKyyYR6Q21VydFLVH3TRQUabQu_ym0Zz7PgGX0-kHA/edit?usp=sharing"",""แผน!HZ66"")"),0)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IFERROR(__xludf.DUMMYFUNCTION("IMPORTRANGE(""https://docs.google.com/spreadsheets/d/1QqKyyYR6Q21VydFLVH3TRQUabQu_ym0Zz7PgGX0-kHA/edit?usp=sharing"",""แผน!HW66"")"),0)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69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69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69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69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69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69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69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IFERROR(__xludf.DUMMYFUNCTION("IMPORTRANGE(""https://docs.google.com/spreadsheets/d/1QqKyyYR6Q21VydFLVH3TRQUabQu_ym0Zz7PgGX0-kHA/edit?usp=sharing"",""แผน!JJ66"")"),0)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IFERROR(__xludf.DUMMYFUNCTION("IMPORTRANGE(""https://docs.google.com/spreadsheets/d/1QqKyyYR6Q21VydFLVH3TRQUabQu_ym0Zz7PgGX0-kHA/edit?usp=sharing"",""แผน!JN66"")"),0)</f>
        <v>0</v>
      </c>
      <c r="J800" s="183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IFERROR(__xludf.DUMMYFUNCTION("IMPORTRANGE(""https://docs.google.com/spreadsheets/d/19vJNZY_5yjcGF2XGBMNZRCAIB0Kwfpjp8YEOfu-bneM/edit?usp=sharing"",""งานกองทุน!D66"")"),2517797.69)</f>
        <v>2517797.69</v>
      </c>
      <c r="J821" s="269">
        <f ca="1">IFERROR(__xludf.DUMMYFUNCTION("IMPORTRANGE(""https://docs.google.com/spreadsheets/d/19vJNZY_5yjcGF2XGBMNZRCAIB0Kwfpjp8YEOfu-bneM/edit?usp=sharing"",""งานกองทุน!F66"")"),2551926.3)</f>
        <v>2551926.2999999998</v>
      </c>
      <c r="K821" s="497">
        <f t="shared" ref="K821:K828" ca="1" si="113">IF(I821&gt;0,J821*100/I821,0)</f>
        <v>101.35549453141327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IFERROR(__xludf.DUMMYFUNCTION("IMPORTRANGE(""https://docs.google.com/spreadsheets/d/19vJNZY_5yjcGF2XGBMNZRCAIB0Kwfpjp8YEOfu-bneM/edit?usp=sharing"",""งานกองทุน!C66"")"),155)</f>
        <v>155</v>
      </c>
      <c r="J822" s="269">
        <f ca="1">IFERROR(__xludf.DUMMYFUNCTION("IMPORTRANGE(""https://docs.google.com/spreadsheets/d/19vJNZY_5yjcGF2XGBMNZRCAIB0Kwfpjp8YEOfu-bneM/edit?usp=sharing"",""งานกองทุน!E66"")"),154)</f>
        <v>154</v>
      </c>
      <c r="K822" s="497">
        <f t="shared" ca="1" si="113"/>
        <v>99.354838709677423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69">
        <f ca="1">IFERROR(__xludf.DUMMYFUNCTION("IMPORTRANGE(""https://docs.google.com/spreadsheets/d/19vJNZY_5yjcGF2XGBMNZRCAIB0Kwfpjp8YEOfu-bneM/edit?usp=sharing"",""งานกองทุน!K66"")"),293809.11)</f>
        <v>293809.11</v>
      </c>
      <c r="K823" s="497">
        <f t="shared" ca="1" si="113"/>
        <v>24.943760483345169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IFERROR(__xludf.DUMMYFUNCTION("IMPORTRANGE(""https://docs.google.com/spreadsheets/d/19vJNZY_5yjcGF2XGBMNZRCAIB0Kwfpjp8YEOfu-bneM/edit?usp=sharing"",""งานกองทุน!H66"")"),37)</f>
        <v>37</v>
      </c>
      <c r="J824" s="269">
        <f ca="1">IFERROR(__xludf.DUMMYFUNCTION("IMPORTRANGE(""https://docs.google.com/spreadsheets/d/19vJNZY_5yjcGF2XGBMNZRCAIB0Kwfpjp8YEOfu-bneM/edit?usp=sharing"",""งานกองทุน!J66"")"),23)</f>
        <v>23</v>
      </c>
      <c r="K824" s="497">
        <f t="shared" ca="1" si="113"/>
        <v>62.162162162162161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IFERROR(__xludf.DUMMYFUNCTION("IMPORTRANGE(""https://docs.google.com/spreadsheets/d/19vJNZY_5yjcGF2XGBMNZRCAIB0Kwfpjp8YEOfu-bneM/edit?usp=sharing"",""งานกองทุน!N66"")"),0)</f>
        <v>0</v>
      </c>
      <c r="J825" s="269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IFERROR(__xludf.DUMMYFUNCTION("IMPORTRANGE(""https://docs.google.com/spreadsheets/d/19vJNZY_5yjcGF2XGBMNZRCAIB0Kwfpjp8YEOfu-bneM/edit?usp=sharing"",""งานกองทุน!M66"")"),0)</f>
        <v>0</v>
      </c>
      <c r="J826" s="269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IFERROR(__xludf.DUMMYFUNCTION("IMPORTRANGE(""https://docs.google.com/spreadsheets/d/19vJNZY_5yjcGF2XGBMNZRCAIB0Kwfpjp8YEOfu-bneM/edit?usp=sharing"",""งานกองทุน!S66"")"),2500000)</f>
        <v>2500000</v>
      </c>
      <c r="J827" s="269">
        <f ca="1">IFERROR(__xludf.DUMMYFUNCTION("IMPORTRANGE(""https://docs.google.com/spreadsheets/d/19vJNZY_5yjcGF2XGBMNZRCAIB0Kwfpjp8YEOfu-bneM/edit?usp=sharing"",""งานกองทุน!U66"")"),2870000)</f>
        <v>2870000</v>
      </c>
      <c r="K827" s="497">
        <f t="shared" ca="1" si="113"/>
        <v>114.8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IFERROR(__xludf.DUMMYFUNCTION("IMPORTRANGE(""https://docs.google.com/spreadsheets/d/19vJNZY_5yjcGF2XGBMNZRCAIB0Kwfpjp8YEOfu-bneM/edit?usp=sharing"",""งานกองทุน!T66"")"),60)</f>
        <v>60</v>
      </c>
      <c r="K828" s="502">
        <f t="shared" ca="1" si="113"/>
        <v>83.333333333333329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1AA33-4752-4600-9E29-0D8FB98F6822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356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4146408</v>
      </c>
      <c r="M8" s="21">
        <f ca="1">M9+M10</f>
        <v>4544719.3100000005</v>
      </c>
      <c r="N8" s="21">
        <f ca="1">N9+N10</f>
        <v>4544719.3100000005</v>
      </c>
      <c r="O8" s="21">
        <f t="shared" ref="O8:O16" ca="1" si="0">IF(L8&gt;0,N8*100/L8,0)</f>
        <v>109.60617744322316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4146408</v>
      </c>
      <c r="M10" s="29">
        <f t="shared" ca="1" si="2"/>
        <v>4544719.3100000005</v>
      </c>
      <c r="N10" s="29">
        <f t="shared" ca="1" si="2"/>
        <v>4544719.3100000005</v>
      </c>
      <c r="O10" s="29">
        <f t="shared" ca="1" si="0"/>
        <v>109.60617744322316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4077408</v>
      </c>
      <c r="M11" s="497">
        <f ca="1">M12+M13</f>
        <v>4475719.3100000005</v>
      </c>
      <c r="N11" s="497">
        <f ca="1">N12+N13</f>
        <v>4475719.3100000005</v>
      </c>
      <c r="O11" s="497">
        <f t="shared" ca="1" si="0"/>
        <v>109.7687381297138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4077408</v>
      </c>
      <c r="M13" s="92">
        <f t="shared" ca="1" si="3"/>
        <v>4475719.3100000005</v>
      </c>
      <c r="N13" s="92">
        <f t="shared" ca="1" si="3"/>
        <v>4475719.3100000005</v>
      </c>
      <c r="O13" s="92">
        <f t="shared" ca="1" si="0"/>
        <v>109.7687381297138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69000</v>
      </c>
      <c r="M14" s="497">
        <f ca="1">M15+M16</f>
        <v>69000</v>
      </c>
      <c r="N14" s="497">
        <f ca="1">N15+N16</f>
        <v>69000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69000</v>
      </c>
      <c r="M16" s="51">
        <f t="shared" ca="1" si="4"/>
        <v>69000</v>
      </c>
      <c r="N16" s="51">
        <f t="shared" ca="1" si="4"/>
        <v>69000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2704370</v>
      </c>
      <c r="M18" s="21">
        <f ca="1">M19+M20</f>
        <v>3201300.83</v>
      </c>
      <c r="N18" s="21">
        <f ca="1">N19+N20</f>
        <v>3201300.83</v>
      </c>
      <c r="O18" s="21">
        <f t="shared" ref="O18:O26" ca="1" si="5">IF(L18&gt;0,N18*100/L18,0)</f>
        <v>118.37510510765908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2704370</v>
      </c>
      <c r="M20" s="29">
        <f t="shared" ca="1" si="7"/>
        <v>3201300.83</v>
      </c>
      <c r="N20" s="29">
        <f t="shared" ca="1" si="7"/>
        <v>3201300.83</v>
      </c>
      <c r="O20" s="29">
        <f t="shared" ca="1" si="5"/>
        <v>118.37510510765908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2635370</v>
      </c>
      <c r="M21" s="497">
        <f ca="1">M22+M23</f>
        <v>3132300.83</v>
      </c>
      <c r="N21" s="497">
        <f ca="1">N22+N23</f>
        <v>3132300.83</v>
      </c>
      <c r="O21" s="497">
        <f t="shared" ca="1" si="5"/>
        <v>118.85620728778122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2635370</v>
      </c>
      <c r="M23" s="92">
        <f t="shared" ca="1" si="8"/>
        <v>3132300.83</v>
      </c>
      <c r="N23" s="92">
        <f t="shared" ca="1" si="8"/>
        <v>3132300.83</v>
      </c>
      <c r="O23" s="92">
        <f t="shared" ca="1" si="5"/>
        <v>118.85620728778122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69000</v>
      </c>
      <c r="M24" s="497">
        <f ca="1">M25+M26</f>
        <v>69000</v>
      </c>
      <c r="N24" s="497">
        <f ca="1">N25+N26</f>
        <v>69000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69000</v>
      </c>
      <c r="M26" s="51">
        <f t="shared" ca="1" si="9"/>
        <v>69000</v>
      </c>
      <c r="N26" s="51">
        <f t="shared" ca="1" si="9"/>
        <v>69000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1442038</v>
      </c>
      <c r="M28" s="21">
        <f ca="1">M29+M30</f>
        <v>1343418.48</v>
      </c>
      <c r="N28" s="21">
        <f>N29+N30</f>
        <v>1343418.48</v>
      </c>
      <c r="O28" s="21">
        <f t="shared" ref="O28:O37" ca="1" si="10">IF(L28&gt;0,N28*100/L28,0)</f>
        <v>93.161101163769615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1442038</v>
      </c>
      <c r="M30" s="29">
        <f t="shared" ca="1" si="12"/>
        <v>1343418.48</v>
      </c>
      <c r="N30" s="29">
        <f t="shared" si="12"/>
        <v>1343418.48</v>
      </c>
      <c r="O30" s="29">
        <f t="shared" ca="1" si="10"/>
        <v>93.161101163769615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1442038</v>
      </c>
      <c r="M31" s="497">
        <f ca="1">M32+M33</f>
        <v>1343418.48</v>
      </c>
      <c r="N31" s="497">
        <f>N32+N33</f>
        <v>1343418.48</v>
      </c>
      <c r="O31" s="497">
        <f t="shared" ca="1" si="10"/>
        <v>93.161101163769615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1442038</v>
      </c>
      <c r="M33" s="92">
        <f t="shared" ca="1" si="13"/>
        <v>1343418.48</v>
      </c>
      <c r="N33" s="92">
        <f t="shared" si="13"/>
        <v>1343418.48</v>
      </c>
      <c r="O33" s="92">
        <f t="shared" ca="1" si="10"/>
        <v>93.161101163769615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2704370</v>
      </c>
      <c r="M37" s="58">
        <f ca="1">M41+M53+M66+M88+M119+M132+M149+M165+M181+M261+M277+M298+M315+M328+M345+M389+M402</f>
        <v>3201300.83</v>
      </c>
      <c r="N37" s="58">
        <f ca="1">N41+N53+N66+N88+N119+N132+N149+N165+N181+N261+N277+N298+N315+N328+N345+N389+N402</f>
        <v>3201300.83</v>
      </c>
      <c r="O37" s="58">
        <f t="shared" ca="1" si="10"/>
        <v>118.37510510765908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349000</v>
      </c>
      <c r="M41" s="84">
        <f ca="1">M42+M43</f>
        <v>512206</v>
      </c>
      <c r="N41" s="84">
        <f ca="1">N42+N43</f>
        <v>512206</v>
      </c>
      <c r="O41" s="84">
        <f t="shared" ref="O41:O49" ca="1" si="15">IF(L41&gt;0,N41*100/L41,0)</f>
        <v>146.76389684813753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349000</v>
      </c>
      <c r="M43" s="91">
        <f t="shared" ca="1" si="17"/>
        <v>512206</v>
      </c>
      <c r="N43" s="91">
        <f t="shared" ca="1" si="17"/>
        <v>512206</v>
      </c>
      <c r="O43" s="91">
        <f t="shared" ca="1" si="15"/>
        <v>146.76389684813753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349000</v>
      </c>
      <c r="M44" s="497">
        <f ca="1">M45+M46</f>
        <v>512206</v>
      </c>
      <c r="N44" s="497">
        <f ca="1">N45+N46</f>
        <v>512206</v>
      </c>
      <c r="O44" s="497">
        <f t="shared" ca="1" si="15"/>
        <v>146.76389684813753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IFERROR(__xludf.DUMMYFUNCTION("IMPORTRANGE(""https://docs.google.com/spreadsheets/d/1MeEWN-I1oV_STSDYn1IFDPWt_1FKiwhDph83XaGc0o0/edit?usp=sharing"",""งบพรบ!M67"")"),349000)</f>
        <v>349000</v>
      </c>
      <c r="M46" s="92">
        <f ca="1">IFERROR(__xludf.DUMMYFUNCTION("IMPORTRANGE(""https://docs.google.com/spreadsheets/d/1MeEWN-I1oV_STSDYn1IFDPWt_1FKiwhDph83XaGc0o0/edit?usp=sharing"",""งบพรบ!R67"")"),512206)</f>
        <v>512206</v>
      </c>
      <c r="N46" s="92">
        <f ca="1">IFERROR(__xludf.DUMMYFUNCTION("IMPORTRANGE(""https://docs.google.com/spreadsheets/d/1MeEWN-I1oV_STSDYn1IFDPWt_1FKiwhDph83XaGc0o0/edit?usp=sharing"",""งบพรบ!T67"")"),512206)</f>
        <v>512206</v>
      </c>
      <c r="O46" s="92">
        <f t="shared" ca="1" si="15"/>
        <v>146.76389684813753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IFERROR(__xludf.DUMMYFUNCTION("IMPORTRANGE(""https://docs.google.com/spreadsheets/d/1MeEWN-I1oV_STSDYn1IFDPWt_1FKiwhDph83XaGc0o0/edit?usp=sharing"",""งบพรบ!P67"")"),0)</f>
        <v>0</v>
      </c>
      <c r="M49" s="51">
        <f ca="1">IFERROR(__xludf.DUMMYFUNCTION("IMPORTRANGE(""https://docs.google.com/spreadsheets/d/1MeEWN-I1oV_STSDYn1IFDPWt_1FKiwhDph83XaGc0o0/edit?usp=sharing"",""งบพรบ!S67"")"),0)</f>
        <v>0</v>
      </c>
      <c r="N49" s="51">
        <f ca="1">IFERROR(__xludf.DUMMYFUNCTION("IMPORTRANGE(""https://docs.google.com/spreadsheets/d/1MeEWN-I1oV_STSDYn1IFDPWt_1FKiwhDph83XaGc0o0/edit?usp=sharing"",""งบพรบ!U67"")"),0)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661300</v>
      </c>
      <c r="M53" s="115">
        <f ca="1">M54+M55</f>
        <v>810334.83</v>
      </c>
      <c r="N53" s="115">
        <f ca="1">N54+N55</f>
        <v>810334.83</v>
      </c>
      <c r="O53" s="115">
        <f t="shared" ref="O53:O61" ca="1" si="18">IF(L53&gt;0,N53*100/L53,0)</f>
        <v>122.53664448812944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661300</v>
      </c>
      <c r="M55" s="122">
        <f t="shared" ca="1" si="20"/>
        <v>810334.83</v>
      </c>
      <c r="N55" s="122">
        <f t="shared" ca="1" si="20"/>
        <v>810334.83</v>
      </c>
      <c r="O55" s="122">
        <f t="shared" ca="1" si="18"/>
        <v>122.53664448812944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607300</v>
      </c>
      <c r="M56" s="497">
        <f ca="1">M57+M58</f>
        <v>756334.83</v>
      </c>
      <c r="N56" s="497">
        <f ca="1">N57+N58</f>
        <v>756334.83</v>
      </c>
      <c r="O56" s="497">
        <f t="shared" ca="1" si="18"/>
        <v>124.54056150172896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IFERROR(__xludf.DUMMYFUNCTION("IMPORTRANGE(""https://docs.google.com/spreadsheets/d/1MeEWN-I1oV_STSDYn1IFDPWt_1FKiwhDph83XaGc0o0/edit?usp=sharing"",""งบพรบ!W67"")"),607300)</f>
        <v>607300</v>
      </c>
      <c r="M58" s="92">
        <f ca="1">IFERROR(__xludf.DUMMYFUNCTION("IMPORTRANGE(""https://docs.google.com/spreadsheets/d/1MeEWN-I1oV_STSDYn1IFDPWt_1FKiwhDph83XaGc0o0/edit?usp=sharing"",""งบพรบ!AB67"")"),756334.83)</f>
        <v>756334.83</v>
      </c>
      <c r="N58" s="92">
        <f ca="1">IFERROR(__xludf.DUMMYFUNCTION("IMPORTRANGE(""https://docs.google.com/spreadsheets/d/1MeEWN-I1oV_STSDYn1IFDPWt_1FKiwhDph83XaGc0o0/edit?usp=sharing"",""งบพรบ!AD67"")"),756334.83)</f>
        <v>756334.83</v>
      </c>
      <c r="O58" s="92">
        <f t="shared" ca="1" si="18"/>
        <v>124.54056150172896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54000</v>
      </c>
      <c r="M59" s="497">
        <f ca="1">M60+M61</f>
        <v>54000</v>
      </c>
      <c r="N59" s="497">
        <f ca="1">N60+N61</f>
        <v>54000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IFERROR(__xludf.DUMMYFUNCTION("IMPORTRANGE(""https://docs.google.com/spreadsheets/d/1MeEWN-I1oV_STSDYn1IFDPWt_1FKiwhDph83XaGc0o0/edit?usp=sharing"",""งบพรบ!Z67"")"),54000)</f>
        <v>54000</v>
      </c>
      <c r="M61" s="51">
        <f ca="1">IFERROR(__xludf.DUMMYFUNCTION("IMPORTRANGE(""https://docs.google.com/spreadsheets/d/1MeEWN-I1oV_STSDYn1IFDPWt_1FKiwhDph83XaGc0o0/edit?usp=sharing"",""งบพรบ!AC67"")"),54000)</f>
        <v>54000</v>
      </c>
      <c r="N61" s="51">
        <f ca="1">IFERROR(__xludf.DUMMYFUNCTION("IMPORTRANGE(""https://docs.google.com/spreadsheets/d/1MeEWN-I1oV_STSDYn1IFDPWt_1FKiwhDph83XaGc0o0/edit?usp=sharing"",""งบพรบ!AE67"")"),54000)</f>
        <v>54000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IFERROR(__xludf.DUMMYFUNCTION("IMPORTRANGE(""https://docs.google.com/spreadsheets/d/1MeEWN-I1oV_STSDYn1IFDPWt_1FKiwhDph83XaGc0o0/edit?usp=sharing"",""งบพรบ!AG67"")"),0)</f>
        <v>0</v>
      </c>
      <c r="M71" s="92">
        <f ca="1">IFERROR(__xludf.DUMMYFUNCTION("IMPORTRANGE(""https://docs.google.com/spreadsheets/d/1MeEWN-I1oV_STSDYn1IFDPWt_1FKiwhDph83XaGc0o0/edit?usp=sharing"",""งบพรบ!AL67"")"),0)</f>
        <v>0</v>
      </c>
      <c r="N71" s="92">
        <f ca="1">IFERROR(__xludf.DUMMYFUNCTION("IMPORTRANGE(""https://docs.google.com/spreadsheets/d/1MeEWN-I1oV_STSDYn1IFDPWt_1FKiwhDph83XaGc0o0/edit?usp=sharing"",""งบพรบ!AN67"")"),0)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IFERROR(__xludf.DUMMYFUNCTION("IMPORTRANGE(""https://docs.google.com/spreadsheets/d/1MeEWN-I1oV_STSDYn1IFDPWt_1FKiwhDph83XaGc0o0/edit?usp=sharing"",""งบพรบ!AJ67"")"),0)</f>
        <v>0</v>
      </c>
      <c r="M74" s="92">
        <f ca="1">IFERROR(__xludf.DUMMYFUNCTION("IMPORTRANGE(""https://docs.google.com/spreadsheets/d/1MeEWN-I1oV_STSDYn1IFDPWt_1FKiwhDph83XaGc0o0/edit?usp=sharing"",""งบพรบ!AM67"")"),0)</f>
        <v>0</v>
      </c>
      <c r="N74" s="92">
        <f ca="1">IFERROR(__xludf.DUMMYFUNCTION("IMPORTRANGE(""https://docs.google.com/spreadsheets/d/1MeEWN-I1oV_STSDYn1IFDPWt_1FKiwhDph83XaGc0o0/edit?usp=sharing"",""งบพรบ!AO67"")"),0)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IFERROR(__xludf.DUMMYFUNCTION("IMPORTRANGE(""https://docs.google.com/spreadsheets/d/1QqKyyYR6Q21VydFLVH3TRQUabQu_ym0Zz7PgGX0-kHA/edit?usp=sharing"",""แผน!H67"")"),0)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IFERROR(__xludf.DUMMYFUNCTION("IMPORTRANGE(""https://docs.google.com/spreadsheets/d/1QqKyyYR6Q21VydFLVH3TRQUabQu_ym0Zz7PgGX0-kHA/edit?usp=sharing"",""แผน!I67"")"),0)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IFERROR(__xludf.DUMMYFUNCTION("IMPORTRANGE(""https://docs.google.com/spreadsheets/d/1QqKyyYR6Q21VydFLVH3TRQUabQu_ym0Zz7PgGX0-kHA/edit?usp=sharing"",""แผน!F67"")"),0)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IFERROR(__xludf.DUMMYFUNCTION("IMPORTRANGE(""https://docs.google.com/spreadsheets/d/1QqKyyYR6Q21VydFLVH3TRQUabQu_ym0Zz7PgGX0-kHA/edit?usp=sharing"",""แผน!G67"")"),0)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IFERROR(__xludf.DUMMYFUNCTION("IMPORTRANGE(""https://docs.google.com/spreadsheets/d/1QqKyyYR6Q21VydFLVH3TRQUabQu_ym0Zz7PgGX0-kHA/edit?usp=sharing"",""แผน!D67"")"),0)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IFERROR(__xludf.DUMMYFUNCTION("IMPORTRANGE(""https://docs.google.com/spreadsheets/d/1QqKyyYR6Q21VydFLVH3TRQUabQu_ym0Zz7PgGX0-kHA/edit?usp=sharing"",""แผน!E67"")"),0)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IFERROR(__xludf.DUMMYFUNCTION("IMPORTRANGE(""https://docs.google.com/spreadsheets/d/1QqKyyYR6Q21VydFLVH3TRQUabQu_ym0Zz7PgGX0-kHA/edit?usp=sharing"",""แผน!J67"")"),0)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128360</v>
      </c>
      <c r="M88" s="154">
        <f ca="1">M89+M90</f>
        <v>128360</v>
      </c>
      <c r="N88" s="154">
        <f ca="1">N89+N90</f>
        <v>128360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128360</v>
      </c>
      <c r="M90" s="92">
        <f t="shared" ca="1" si="27"/>
        <v>128360</v>
      </c>
      <c r="N90" s="92">
        <f t="shared" ca="1" si="27"/>
        <v>128360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128360</v>
      </c>
      <c r="M91" s="497">
        <f ca="1">M92+M93</f>
        <v>128360</v>
      </c>
      <c r="N91" s="497">
        <f ca="1">N92+N93</f>
        <v>128360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IFERROR(__xludf.DUMMYFUNCTION("IMPORTRANGE(""https://docs.google.com/spreadsheets/d/1MeEWN-I1oV_STSDYn1IFDPWt_1FKiwhDph83XaGc0o0/edit?usp=sharing"",""งบพรบ!AQ67"")"),128360)</f>
        <v>128360</v>
      </c>
      <c r="M93" s="92">
        <f ca="1">IFERROR(__xludf.DUMMYFUNCTION("IMPORTRANGE(""https://docs.google.com/spreadsheets/d/1MeEWN-I1oV_STSDYn1IFDPWt_1FKiwhDph83XaGc0o0/edit?usp=sharing"",""งบพรบ!AV67"")"),128360)</f>
        <v>128360</v>
      </c>
      <c r="N93" s="92">
        <f ca="1">IFERROR(__xludf.DUMMYFUNCTION("IMPORTRANGE(""https://docs.google.com/spreadsheets/d/1MeEWN-I1oV_STSDYn1IFDPWt_1FKiwhDph83XaGc0o0/edit?usp=sharing"",""งบพรบ!AX67"")"),128360)</f>
        <v>128360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IFERROR(__xludf.DUMMYFUNCTION("IMPORTRANGE(""https://docs.google.com/spreadsheets/d/1MeEWN-I1oV_STSDYn1IFDPWt_1FKiwhDph83XaGc0o0/edit?usp=sharing"",""งบพรบ!AT67"")"),0)</f>
        <v>0</v>
      </c>
      <c r="M96" s="92">
        <f ca="1">IFERROR(__xludf.DUMMYFUNCTION("IMPORTRANGE(""https://docs.google.com/spreadsheets/d/1MeEWN-I1oV_STSDYn1IFDPWt_1FKiwhDph83XaGc0o0/edit?usp=sharing"",""งบพรบ!AW67"")"),0)</f>
        <v>0</v>
      </c>
      <c r="N96" s="92">
        <f ca="1">IFERROR(__xludf.DUMMYFUNCTION("IMPORTRANGE(""https://docs.google.com/spreadsheets/d/1MeEWN-I1oV_STSDYn1IFDPWt_1FKiwhDph83XaGc0o0/edit?usp=sharing"",""งบพรบ!AY67"")"),0)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IFERROR(__xludf.DUMMYFUNCTION("IMPORTRANGE(""https://docs.google.com/spreadsheets/d/1QqKyyYR6Q21VydFLVH3TRQUabQu_ym0Zz7PgGX0-kHA/edit?usp=sharing"",""แผน!K67"")"),45)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IFERROR(__xludf.DUMMYFUNCTION("IMPORTRANGE(""https://docs.google.com/spreadsheets/d/1QqKyyYR6Q21VydFLVH3TRQUabQu_ym0Zz7PgGX0-kHA/edit?usp=sharing"",""แผน!L67"")"),15)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IFERROR(__xludf.DUMMYFUNCTION("IMPORTRANGE(""https://docs.google.com/spreadsheets/d/1QqKyyYR6Q21VydFLVH3TRQUabQu_ym0Zz7PgGX0-kHA/edit?usp=sharing"",""แผน!M67"")"),3)</f>
        <v>3</v>
      </c>
      <c r="J100" s="269">
        <f>J107+J110</f>
        <v>3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IFERROR(__xludf.DUMMYFUNCTION("IMPORTRANGE(""https://docs.google.com/spreadsheets/d/1QqKyyYR6Q21VydFLVH3TRQUabQu_ym0Zz7PgGX0-kHA/edit?usp=sharing"",""แผน!N67"")"),45)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IFERROR(__xludf.DUMMYFUNCTION("IMPORTRANGE(""https://docs.google.com/spreadsheets/d/1QqKyyYR6Q21VydFLVH3TRQUabQu_ym0Zz7PgGX0-kHA/edit?usp=sharing"",""แผน!O67"")"),15)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IFERROR(__xludf.DUMMYFUNCTION("IMPORTRANGE(""https://docs.google.com/spreadsheets/d/1QqKyyYR6Q21VydFLVH3TRQUabQu_ym0Zz7PgGX0-kHA/edit?usp=sharing"",""แผน!O67"")"),15)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IFERROR(__xludf.DUMMYFUNCTION("IMPORTRANGE(""https://docs.google.com/spreadsheets/d/1QqKyyYR6Q21VydFLVH3TRQUabQu_ym0Zz7PgGX0-kHA/edit?usp=sharing"",""แผน!P67"")"),2)</f>
        <v>2</v>
      </c>
      <c r="J106" s="214">
        <v>2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IFERROR(__xludf.DUMMYFUNCTION("IMPORTRANGE(""https://docs.google.com/spreadsheets/d/1QqKyyYR6Q21VydFLVH3TRQUabQu_ym0Zz7PgGX0-kHA/edit?usp=sharing"",""แผน!P67"")"),2)</f>
        <v>2</v>
      </c>
      <c r="J107" s="214">
        <v>2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IFERROR(__xludf.DUMMYFUNCTION("IMPORTRANGE(""https://docs.google.com/spreadsheets/d/1QqKyyYR6Q21VydFLVH3TRQUabQu_ym0Zz7PgGX0-kHA/edit?usp=sharing"",""แผน!Q67"")"),1)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IFERROR(__xludf.DUMMYFUNCTION("IMPORTRANGE(""https://docs.google.com/spreadsheets/d/1QqKyyYR6Q21VydFLVH3TRQUabQu_ym0Zz7PgGX0-kHA/edit?usp=sharing"",""แผน!Q67"")"),1)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3</v>
      </c>
      <c r="J112" s="676">
        <f>J115+J116</f>
        <v>3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IFERROR(__xludf.DUMMYFUNCTION("IMPORTRANGE(""https://docs.google.com/spreadsheets/d/1QqKyyYR6Q21VydFLVH3TRQUabQu_ym0Zz7PgGX0-kHA/edit?usp=sharing"",""แผน!R67"")"),15)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IFERROR(__xludf.DUMMYFUNCTION("IMPORTRANGE(""https://docs.google.com/spreadsheets/d/1QqKyyYR6Q21VydFLVH3TRQUabQu_ym0Zz7PgGX0-kHA/edit?usp=sharing"",""แผน!R67"")"),15)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IFERROR(__xludf.DUMMYFUNCTION("IMPORTRANGE(""https://docs.google.com/spreadsheets/d/1QqKyyYR6Q21VydFLVH3TRQUabQu_ym0Zz7PgGX0-kHA/edit?usp=sharing"",""แผน!S67"")"),2)</f>
        <v>2</v>
      </c>
      <c r="J115" s="214">
        <v>2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IFERROR(__xludf.DUMMYFUNCTION("IMPORTRANGE(""https://docs.google.com/spreadsheets/d/1QqKyyYR6Q21VydFLVH3TRQUabQu_ym0Zz7PgGX0-kHA/edit?usp=sharing"",""แผน!T67"")"),1)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IFERROR(__xludf.DUMMYFUNCTION("IMPORTRANGE(""https://docs.google.com/spreadsheets/d/1MeEWN-I1oV_STSDYn1IFDPWt_1FKiwhDph83XaGc0o0/edit?usp=sharing"",""งบพรบ!BA67"")"),0)</f>
        <v>0</v>
      </c>
      <c r="M124" s="92">
        <f ca="1">IFERROR(__xludf.DUMMYFUNCTION("IMPORTRANGE(""https://docs.google.com/spreadsheets/d/1MeEWN-I1oV_STSDYn1IFDPWt_1FKiwhDph83XaGc0o0/edit?usp=sharing"",""งบพรบ!BF67"")"),0)</f>
        <v>0</v>
      </c>
      <c r="N124" s="92">
        <f ca="1">IFERROR(__xludf.DUMMYFUNCTION("IMPORTRANGE(""https://docs.google.com/spreadsheets/d/1MeEWN-I1oV_STSDYn1IFDPWt_1FKiwhDph83XaGc0o0/edit?usp=sharing"",""งบพรบ!BH67"")"),0)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IFERROR(__xludf.DUMMYFUNCTION("IMPORTRANGE(""https://docs.google.com/spreadsheets/d/1MeEWN-I1oV_STSDYn1IFDPWt_1FKiwhDph83XaGc0o0/edit?usp=sharing"",""งบพรบ!BD67"")"),0)</f>
        <v>0</v>
      </c>
      <c r="M127" s="92">
        <f ca="1">IFERROR(__xludf.DUMMYFUNCTION("IMPORTRANGE(""https://docs.google.com/spreadsheets/d/1MeEWN-I1oV_STSDYn1IFDPWt_1FKiwhDph83XaGc0o0/edit?usp=sharing"",""งบพรบ!BG67"")"),0)</f>
        <v>0</v>
      </c>
      <c r="N127" s="92">
        <f ca="1">IFERROR(__xludf.DUMMYFUNCTION("IMPORTRANGE(""https://docs.google.com/spreadsheets/d/1MeEWN-I1oV_STSDYn1IFDPWt_1FKiwhDph83XaGc0o0/edit?usp=sharing"",""งบพรบ!BI67"")"),0)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IFERROR(__xludf.DUMMYFUNCTION("IMPORTRANGE(""https://docs.google.com/spreadsheets/d/1MeEWN-I1oV_STSDYn1IFDPWt_1FKiwhDph83XaGc0o0/edit?usp=sharing"",""งบพรบ!BK67"")"),0)</f>
        <v>0</v>
      </c>
      <c r="M137" s="92">
        <f ca="1">IFERROR(__xludf.DUMMYFUNCTION("IMPORTRANGE(""https://docs.google.com/spreadsheets/d/1MeEWN-I1oV_STSDYn1IFDPWt_1FKiwhDph83XaGc0o0/edit?usp=sharing"",""งบพรบ!BP67"")"),0)</f>
        <v>0</v>
      </c>
      <c r="N137" s="92">
        <f ca="1">IFERROR(__xludf.DUMMYFUNCTION("IMPORTRANGE(""https://docs.google.com/spreadsheets/d/1MeEWN-I1oV_STSDYn1IFDPWt_1FKiwhDph83XaGc0o0/edit?usp=sharing"",""งบพรบ!BR67"")"),0)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IFERROR(__xludf.DUMMYFUNCTION("IMPORTRANGE(""https://docs.google.com/spreadsheets/d/1MeEWN-I1oV_STSDYn1IFDPWt_1FKiwhDph83XaGc0o0/edit?usp=sharing"",""งบพรบ!BN67"")"),0)</f>
        <v>0</v>
      </c>
      <c r="M140" s="92">
        <f ca="1">IFERROR(__xludf.DUMMYFUNCTION("IMPORTRANGE(""https://docs.google.com/spreadsheets/d/1MeEWN-I1oV_STSDYn1IFDPWt_1FKiwhDph83XaGc0o0/edit?usp=sharing"",""งบพรบ!BQ67"")"),0)</f>
        <v>0</v>
      </c>
      <c r="N140" s="92">
        <f ca="1">IFERROR(__xludf.DUMMYFUNCTION("IMPORTRANGE(""https://docs.google.com/spreadsheets/d/1MeEWN-I1oV_STSDYn1IFDPWt_1FKiwhDph83XaGc0o0/edit?usp=sharing"",""งบพรบ!BS67"")"),0)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IFERROR(__xludf.DUMMYFUNCTION("IMPORTRANGE(""https://docs.google.com/spreadsheets/d/1QqKyyYR6Q21VydFLVH3TRQUabQu_ym0Zz7PgGX0-kHA/edit?usp=sharing"",""แผน!U67"")"),0)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IFERROR(__xludf.DUMMYFUNCTION("IMPORTRANGE(""https://docs.google.com/spreadsheets/d/1QqKyyYR6Q21VydFLVH3TRQUabQu_ym0Zz7PgGX0-kHA/edit?usp=sharing"",""แผน!V67"")"),0)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IFERROR(__xludf.DUMMYFUNCTION("IMPORTRANGE(""https://docs.google.com/spreadsheets/d/1QqKyyYR6Q21VydFLVH3TRQUabQu_ym0Zz7PgGX0-kHA/edit?usp=sharing"",""แผน!W67"")"),0)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7500</v>
      </c>
      <c r="N149" s="154">
        <f ca="1">N150+N151</f>
        <v>7500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7500</v>
      </c>
      <c r="N151" s="92">
        <f t="shared" ca="1" si="37"/>
        <v>7500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7500</v>
      </c>
      <c r="N152" s="497">
        <f ca="1">N153+N154</f>
        <v>7500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IFERROR(__xludf.DUMMYFUNCTION("IMPORTRANGE(""https://docs.google.com/spreadsheets/d/1MeEWN-I1oV_STSDYn1IFDPWt_1FKiwhDph83XaGc0o0/edit?usp=sharing"",""งบพรบ!BU67"")"),7500)</f>
        <v>7500</v>
      </c>
      <c r="M154" s="92">
        <f ca="1">IFERROR(__xludf.DUMMYFUNCTION("IMPORTRANGE(""https://docs.google.com/spreadsheets/d/1MeEWN-I1oV_STSDYn1IFDPWt_1FKiwhDph83XaGc0o0/edit?usp=sharing"",""งบพรบ!BZ67"")"),7500)</f>
        <v>7500</v>
      </c>
      <c r="N154" s="92">
        <f ca="1">IFERROR(__xludf.DUMMYFUNCTION("IMPORTRANGE(""https://docs.google.com/spreadsheets/d/1MeEWN-I1oV_STSDYn1IFDPWt_1FKiwhDph83XaGc0o0/edit?usp=sharing"",""งบพรบ!CB67"")"),7500)</f>
        <v>7500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IFERROR(__xludf.DUMMYFUNCTION("IMPORTRANGE(""https://docs.google.com/spreadsheets/d/1MeEWN-I1oV_STSDYn1IFDPWt_1FKiwhDph83XaGc0o0/edit?usp=sharing"",""งบพรบ!BX67"")"),0)</f>
        <v>0</v>
      </c>
      <c r="M157" s="92">
        <f ca="1">IFERROR(__xludf.DUMMYFUNCTION("IMPORTRANGE(""https://docs.google.com/spreadsheets/d/1MeEWN-I1oV_STSDYn1IFDPWt_1FKiwhDph83XaGc0o0/edit?usp=sharing"",""งบพรบ!CA67"")"),0)</f>
        <v>0</v>
      </c>
      <c r="N157" s="92">
        <f ca="1">IFERROR(__xludf.DUMMYFUNCTION("IMPORTRANGE(""https://docs.google.com/spreadsheets/d/1MeEWN-I1oV_STSDYn1IFDPWt_1FKiwhDph83XaGc0o0/edit?usp=sharing"",""งบพรบ!CC67"")"),0)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IFERROR(__xludf.DUMMYFUNCTION("IMPORTRANGE(""https://docs.google.com/spreadsheets/d/1QqKyyYR6Q21VydFLVH3TRQUabQu_ym0Zz7PgGX0-kHA/edit?usp=sharing"",""แผน!X67"")"),15)</f>
        <v>15</v>
      </c>
      <c r="J159" s="214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46540</v>
      </c>
      <c r="N165" s="154">
        <f ca="1">N166+N167</f>
        <v>46540</v>
      </c>
      <c r="O165" s="154">
        <f t="shared" ref="O165:O173" ca="1" si="38">IF(L165&gt;0,N165*100/L165,0)</f>
        <v>221.09263657957246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46540</v>
      </c>
      <c r="N167" s="92">
        <f t="shared" ca="1" si="40"/>
        <v>46540</v>
      </c>
      <c r="O167" s="92">
        <f t="shared" ca="1" si="38"/>
        <v>221.09263657957246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46540</v>
      </c>
      <c r="N168" s="497">
        <f ca="1">N169+N170</f>
        <v>46540</v>
      </c>
      <c r="O168" s="497">
        <f t="shared" ca="1" si="38"/>
        <v>221.09263657957246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IFERROR(__xludf.DUMMYFUNCTION("IMPORTRANGE(""https://docs.google.com/spreadsheets/d/1MeEWN-I1oV_STSDYn1IFDPWt_1FKiwhDph83XaGc0o0/edit?usp=sharing"",""งบพรบ!CE67"")"),21050)</f>
        <v>21050</v>
      </c>
      <c r="M170" s="92">
        <f ca="1">IFERROR(__xludf.DUMMYFUNCTION("IMPORTRANGE(""https://docs.google.com/spreadsheets/d/1MeEWN-I1oV_STSDYn1IFDPWt_1FKiwhDph83XaGc0o0/edit?usp=sharing"",""งบพรบ!CJ67"")"),46540)</f>
        <v>46540</v>
      </c>
      <c r="N170" s="92">
        <f ca="1">IFERROR(__xludf.DUMMYFUNCTION("IMPORTRANGE(""https://docs.google.com/spreadsheets/d/1MeEWN-I1oV_STSDYn1IFDPWt_1FKiwhDph83XaGc0o0/edit?usp=sharing"",""งบพรบ!CL67"")"),46540)</f>
        <v>46540</v>
      </c>
      <c r="O170" s="92">
        <f t="shared" ca="1" si="38"/>
        <v>221.09263657957246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IFERROR(__xludf.DUMMYFUNCTION("IMPORTRANGE(""https://docs.google.com/spreadsheets/d/1MeEWN-I1oV_STSDYn1IFDPWt_1FKiwhDph83XaGc0o0/edit?usp=sharing"",""งบพรบ!CH67"")"),0)</f>
        <v>0</v>
      </c>
      <c r="M173" s="92">
        <f ca="1">IFERROR(__xludf.DUMMYFUNCTION("IMPORTRANGE(""https://docs.google.com/spreadsheets/d/1MeEWN-I1oV_STSDYn1IFDPWt_1FKiwhDph83XaGc0o0/edit?usp=sharing"",""งบพรบ!CK67"")"),0)</f>
        <v>0</v>
      </c>
      <c r="N173" s="92">
        <f ca="1">IFERROR(__xludf.DUMMYFUNCTION("IMPORTRANGE(""https://docs.google.com/spreadsheets/d/1MeEWN-I1oV_STSDYn1IFDPWt_1FKiwhDph83XaGc0o0/edit?usp=sharing"",""งบพรบ!CM67"")"),0)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IFERROR(__xludf.DUMMYFUNCTION("IMPORTRANGE(""https://docs.google.com/spreadsheets/d/1QqKyyYR6Q21VydFLVH3TRQUabQu_ym0Zz7PgGX0-kHA/edit?usp=sharing"",""แผน!Y67"")"),10)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53000</v>
      </c>
      <c r="M181" s="154">
        <f ca="1">M182+M183</f>
        <v>53000</v>
      </c>
      <c r="N181" s="154">
        <f ca="1">N182+N183</f>
        <v>53000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53000</v>
      </c>
      <c r="M183" s="92">
        <f t="shared" ca="1" si="43"/>
        <v>53000</v>
      </c>
      <c r="N183" s="92">
        <f t="shared" ca="1" si="43"/>
        <v>53000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53000</v>
      </c>
      <c r="M184" s="497">
        <f ca="1">M185+M186</f>
        <v>53000</v>
      </c>
      <c r="N184" s="497">
        <f ca="1">N185+N186</f>
        <v>53000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IFERROR(__xludf.DUMMYFUNCTION("IMPORTRANGE(""https://docs.google.com/spreadsheets/d/1MeEWN-I1oV_STSDYn1IFDPWt_1FKiwhDph83XaGc0o0/edit?usp=sharing"",""งบพรบ!CO67"")"),53000)</f>
        <v>53000</v>
      </c>
      <c r="M186" s="92">
        <f ca="1">IFERROR(__xludf.DUMMYFUNCTION("IMPORTRANGE(""https://docs.google.com/spreadsheets/d/1MeEWN-I1oV_STSDYn1IFDPWt_1FKiwhDph83XaGc0o0/edit?usp=sharing"",""งบพรบ!CT67"")"),53000)</f>
        <v>53000</v>
      </c>
      <c r="N186" s="92">
        <f ca="1">IFERROR(__xludf.DUMMYFUNCTION("IMPORTRANGE(""https://docs.google.com/spreadsheets/d/1MeEWN-I1oV_STSDYn1IFDPWt_1FKiwhDph83XaGc0o0/edit?usp=sharing"",""งบพรบ!CV67"")"),53000)</f>
        <v>53000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IFERROR(__xludf.DUMMYFUNCTION("IMPORTRANGE(""https://docs.google.com/spreadsheets/d/1MeEWN-I1oV_STSDYn1IFDPWt_1FKiwhDph83XaGc0o0/edit?usp=sharing"",""งบพรบ!CR67"")"),0)</f>
        <v>0</v>
      </c>
      <c r="M189" s="92">
        <f ca="1">IFERROR(__xludf.DUMMYFUNCTION("IMPORTRANGE(""https://docs.google.com/spreadsheets/d/1MeEWN-I1oV_STSDYn1IFDPWt_1FKiwhDph83XaGc0o0/edit?usp=sharing"",""งบพรบ!CU67"")"),0)</f>
        <v>0</v>
      </c>
      <c r="N189" s="92">
        <f ca="1">IFERROR(__xludf.DUMMYFUNCTION("IMPORTRANGE(""https://docs.google.com/spreadsheets/d/1MeEWN-I1oV_STSDYn1IFDPWt_1FKiwhDph83XaGc0o0/edit?usp=sharing"",""งบพรบ!CW67"")"),0)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IFERROR(__xludf.DUMMYFUNCTION("IMPORTRANGE(""https://docs.google.com/spreadsheets/d/1QqKyyYR6Q21VydFLVH3TRQUabQu_ym0Zz7PgGX0-kHA/edit?usp=sharing"",""แผน!Z67"")"),6000)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IFERROR(__xludf.DUMMYFUNCTION("IMPORTRANGE(""https://docs.google.com/spreadsheets/d/1QqKyyYR6Q21VydFLVH3TRQUabQu_ym0Zz7PgGX0-kHA/edit?usp=sharing"",""แผน!AC67"")"),4)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331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331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IFERROR(__xludf.DUMMYFUNCTION("IMPORTRANGE(""https://docs.google.com/spreadsheets/d/1QqKyyYR6Q21VydFLVH3TRQUabQu_ym0Zz7PgGX0-kHA/edit?usp=sharing"",""แผน!AI67"")"),3)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IFERROR(__xludf.DUMMYFUNCTION("IMPORTRANGE(""https://docs.google.com/spreadsheets/d/1QqKyyYR6Q21VydFLVH3TRQUabQu_ym0Zz7PgGX0-kHA/edit?usp=sharing"",""แผน!AN67"")"),0)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IFERROR(__xludf.DUMMYFUNCTION("IMPORTRANGE(""https://docs.google.com/spreadsheets/d/1QqKyyYR6Q21VydFLVH3TRQUabQu_ym0Zz7PgGX0-kHA/edit?usp=sharing"",""แผน!AN67"")"),0)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3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IFERROR(__xludf.DUMMYFUNCTION("IMPORTRANGE(""https://docs.google.com/spreadsheets/d/1QqKyyYR6Q21VydFLVH3TRQUabQu_ym0Zz7PgGX0-kHA/edit?usp=sharing"",""แผน!AT67"")"),20000)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IFERROR(__xludf.DUMMYFUNCTION("IMPORTRANGE(""https://docs.google.com/spreadsheets/d/1QqKyyYR6Q21VydFLVH3TRQUabQu_ym0Zz7PgGX0-kHA/edit?usp=sharing"",""แผน!AT67"")"),20000)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IFERROR(__xludf.DUMMYFUNCTION("IMPORTRANGE(""https://docs.google.com/spreadsheets/d/1QqKyyYR6Q21VydFLVH3TRQUabQu_ym0Zz7PgGX0-kHA/edit?usp=sharing"",""แผน!AS67"")"),0)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IFERROR(__xludf.DUMMYFUNCTION("IMPORTRANGE(""https://docs.google.com/spreadsheets/d/1QqKyyYR6Q21VydFLVH3TRQUabQu_ym0Zz7PgGX0-kHA/edit?usp=sharing"",""แผน!AV67"")"),0)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IFERROR(__xludf.DUMMYFUNCTION("IMPORTRANGE(""https://docs.google.com/spreadsheets/d/1QqKyyYR6Q21VydFLVH3TRQUabQu_ym0Zz7PgGX0-kHA/edit?usp=sharing"",""แผน!AW67"")"),0)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IFERROR(__xludf.DUMMYFUNCTION("IMPORTRANGE(""https://docs.google.com/spreadsheets/d/1QqKyyYR6Q21VydFLVH3TRQUabQu_ym0Zz7PgGX0-kHA/edit?usp=sharing"",""แผน!AX67"")"),0)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IFERROR(__xludf.DUMMYFUNCTION("IMPORTRANGE(""https://docs.google.com/spreadsheets/d/1QqKyyYR6Q21VydFLVH3TRQUabQu_ym0Zz7PgGX0-kHA/edit?usp=sharing"",""แผน!AY67"")"),0)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IFERROR(__xludf.DUMMYFUNCTION("IMPORTRANGE(""https://docs.google.com/spreadsheets/d/1QqKyyYR6Q21VydFLVH3TRQUabQu_ym0Zz7PgGX0-kHA/edit?usp=sharing"",""แผน!AZ67"")"),0)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IFERROR(__xludf.DUMMYFUNCTION("IMPORTRANGE(""https://docs.google.com/spreadsheets/d/1QqKyyYR6Q21VydFLVH3TRQUabQu_ym0Zz7PgGX0-kHA/edit?usp=sharing"",""แผน!BA67"")"),0)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IFERROR(__xludf.DUMMYFUNCTION("IMPORTRANGE(""https://docs.google.com/spreadsheets/d/1QqKyyYR6Q21VydFLVH3TRQUabQu_ym0Zz7PgGX0-kHA/edit?usp=sharing"",""แผน!BB67"")"),0)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IFERROR(__xludf.DUMMYFUNCTION("IMPORTRANGE(""https://docs.google.com/spreadsheets/d/1QqKyyYR6Q21VydFLVH3TRQUabQu_ym0Zz7PgGX0-kHA/edit?usp=sharing"",""แผน!BC67"")"),0)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IFERROR(__xludf.DUMMYFUNCTION("IMPORTRANGE(""https://docs.google.com/spreadsheets/d/1MeEWN-I1oV_STSDYn1IFDPWt_1FKiwhDph83XaGc0o0/edit?usp=sharing"",""งบพรบ!CY67"")"),26900)</f>
        <v>26900</v>
      </c>
      <c r="M266" s="92">
        <f ca="1">IFERROR(__xludf.DUMMYFUNCTION("IMPORTRANGE(""https://docs.google.com/spreadsheets/d/1MeEWN-I1oV_STSDYn1IFDPWt_1FKiwhDph83XaGc0o0/edit?usp=sharing"",""งบพรบ!DD67"")"),26900)</f>
        <v>26900</v>
      </c>
      <c r="N266" s="92">
        <f ca="1">IFERROR(__xludf.DUMMYFUNCTION("IMPORTRANGE(""https://docs.google.com/spreadsheets/d/1MeEWN-I1oV_STSDYn1IFDPWt_1FKiwhDph83XaGc0o0/edit?usp=sharing"",""งบพรบ!DF67"")"),26900)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IFERROR(__xludf.DUMMYFUNCTION("IMPORTRANGE(""https://docs.google.com/spreadsheets/d/1MeEWN-I1oV_STSDYn1IFDPWt_1FKiwhDph83XaGc0o0/edit?usp=sharing"",""งบพรบ!DB67"")"),0)</f>
        <v>0</v>
      </c>
      <c r="M269" s="92">
        <f ca="1">IFERROR(__xludf.DUMMYFUNCTION("IMPORTRANGE(""https://docs.google.com/spreadsheets/d/1MeEWN-I1oV_STSDYn1IFDPWt_1FKiwhDph83XaGc0o0/edit?usp=sharing"",""งบพรบ!DE67"")"),0)</f>
        <v>0</v>
      </c>
      <c r="N269" s="92">
        <f ca="1">IFERROR(__xludf.DUMMYFUNCTION("IMPORTRANGE(""https://docs.google.com/spreadsheets/d/1MeEWN-I1oV_STSDYn1IFDPWt_1FKiwhDph83XaGc0o0/edit?usp=sharing"",""งบพรบ!DG67"")"),0)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IFERROR(__xludf.DUMMYFUNCTION("IMPORTRANGE(""https://docs.google.com/spreadsheets/d/1QqKyyYR6Q21VydFLVH3TRQUabQu_ym0Zz7PgGX0-kHA/edit?usp=sharing"",""แผน!EA67"")"),22)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10</v>
      </c>
      <c r="J275" s="405">
        <f ca="1">J288</f>
        <v>10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100</v>
      </c>
      <c r="J276" s="860">
        <f>J287</f>
        <v>100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191010</v>
      </c>
      <c r="M277" s="154">
        <f ca="1">M278+M279</f>
        <v>191010</v>
      </c>
      <c r="N277" s="154">
        <f ca="1">N278+N279</f>
        <v>191010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191010</v>
      </c>
      <c r="M279" s="92">
        <f t="shared" ca="1" si="49"/>
        <v>191010</v>
      </c>
      <c r="N279" s="92">
        <f t="shared" ca="1" si="49"/>
        <v>191010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191010</v>
      </c>
      <c r="M280" s="497">
        <f ca="1">M281+M282</f>
        <v>191010</v>
      </c>
      <c r="N280" s="497">
        <f ca="1">N281+N282</f>
        <v>191010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IFERROR(__xludf.DUMMYFUNCTION("IMPORTRANGE(""https://docs.google.com/spreadsheets/d/1MeEWN-I1oV_STSDYn1IFDPWt_1FKiwhDph83XaGc0o0/edit?usp=sharing"",""งบพรบ!DI67"")"),191010)</f>
        <v>191010</v>
      </c>
      <c r="M282" s="92">
        <f ca="1">IFERROR(__xludf.DUMMYFUNCTION("IMPORTRANGE(""https://docs.google.com/spreadsheets/d/1MeEWN-I1oV_STSDYn1IFDPWt_1FKiwhDph83XaGc0o0/edit?usp=sharing"",""งบพรบ!DN67"")"),191010)</f>
        <v>191010</v>
      </c>
      <c r="N282" s="92">
        <f ca="1">IFERROR(__xludf.DUMMYFUNCTION("IMPORTRANGE(""https://docs.google.com/spreadsheets/d/1MeEWN-I1oV_STSDYn1IFDPWt_1FKiwhDph83XaGc0o0/edit?usp=sharing"",""งบพรบ!DP67"")"),191010)</f>
        <v>191010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IFERROR(__xludf.DUMMYFUNCTION("IMPORTRANGE(""https://docs.google.com/spreadsheets/d/1MeEWN-I1oV_STSDYn1IFDPWt_1FKiwhDph83XaGc0o0/edit?usp=sharing"",""งบพรบ!DL67"")"),0)</f>
        <v>0</v>
      </c>
      <c r="M285" s="92">
        <f ca="1">IFERROR(__xludf.DUMMYFUNCTION("IMPORTRANGE(""https://docs.google.com/spreadsheets/d/1MeEWN-I1oV_STSDYn1IFDPWt_1FKiwhDph83XaGc0o0/edit?usp=sharing"",""งบพรบ!DO67"")"),0)</f>
        <v>0</v>
      </c>
      <c r="N285" s="92">
        <f ca="1">IFERROR(__xludf.DUMMYFUNCTION("IMPORTRANGE(""https://docs.google.com/spreadsheets/d/1MeEWN-I1oV_STSDYn1IFDPWt_1FKiwhDph83XaGc0o0/edit?usp=sharing"",""งบพรบ!DQ67"")"),0)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IFERROR(__xludf.DUMMYFUNCTION("IMPORTRANGE(""https://docs.google.com/spreadsheets/d/1QqKyyYR6Q21VydFLVH3TRQUabQu_ym0Zz7PgGX0-kHA/edit?usp=sharing"",""แผน!EC67"")"),100)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IFERROR(__xludf.DUMMYFUNCTION("IMPORTRANGE(""https://docs.google.com/spreadsheets/d/1QqKyyYR6Q21VydFLVH3TRQUabQu_ym0Zz7PgGX0-kHA/edit?usp=sharing"",""แผน!EB67"")"),10)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IFERROR(__xludf.DUMMYFUNCTION("IMPORTRANGE(""https://docs.google.com/spreadsheets/d/1QqKyyYR6Q21VydFLVH3TRQUabQu_ym0Zz7PgGX0-kHA/edit?usp=sharing"",""แผน!EB67"")"),10)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IFERROR(__xludf.DUMMYFUNCTION("IMPORTRANGE(""https://docs.google.com/spreadsheets/d/1QqKyyYR6Q21VydFLVH3TRQUabQu_ym0Zz7PgGX0-kHA/edit?usp=sharing"",""แผน!EB67"")"),10)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IFERROR(__xludf.DUMMYFUNCTION("IMPORTRANGE(""https://docs.google.com/spreadsheets/d/1QqKyyYR6Q21VydFLVH3TRQUabQu_ym0Zz7PgGX0-kHA/edit?usp=sharing"",""แผน!EB67"")"),10)</f>
        <v>10</v>
      </c>
      <c r="J294" s="423">
        <v>10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219300</v>
      </c>
      <c r="N298" s="154">
        <f ca="1">N299+N300</f>
        <v>219300</v>
      </c>
      <c r="O298" s="154">
        <f t="shared" ref="O298:O306" ca="1" si="50">IF(L298&gt;0,N298*100/L298,0)</f>
        <v>106.04448742746615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206800</v>
      </c>
      <c r="M300" s="92">
        <f t="shared" ca="1" si="52"/>
        <v>219300</v>
      </c>
      <c r="N300" s="92">
        <f t="shared" ca="1" si="52"/>
        <v>219300</v>
      </c>
      <c r="O300" s="92">
        <f t="shared" ca="1" si="50"/>
        <v>106.04448742746615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219300</v>
      </c>
      <c r="N301" s="497">
        <f ca="1">N302+N303</f>
        <v>219300</v>
      </c>
      <c r="O301" s="497">
        <f t="shared" ca="1" si="50"/>
        <v>106.04448742746615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IFERROR(__xludf.DUMMYFUNCTION("IMPORTRANGE(""https://docs.google.com/spreadsheets/d/1MeEWN-I1oV_STSDYn1IFDPWt_1FKiwhDph83XaGc0o0/edit?usp=sharing"",""งบพรบ!DS67"")"),206800)</f>
        <v>206800</v>
      </c>
      <c r="M303" s="92">
        <f ca="1">IFERROR(__xludf.DUMMYFUNCTION("IMPORTRANGE(""https://docs.google.com/spreadsheets/d/1MeEWN-I1oV_STSDYn1IFDPWt_1FKiwhDph83XaGc0o0/edit?usp=sharing"",""งบพรบ!DX67"")"),219300)</f>
        <v>219300</v>
      </c>
      <c r="N303" s="92">
        <f ca="1">IFERROR(__xludf.DUMMYFUNCTION("IMPORTRANGE(""https://docs.google.com/spreadsheets/d/1MeEWN-I1oV_STSDYn1IFDPWt_1FKiwhDph83XaGc0o0/edit?usp=sharing"",""งบพรบ!DZ67"")"),219300)</f>
        <v>219300</v>
      </c>
      <c r="O303" s="92">
        <f t="shared" ca="1" si="50"/>
        <v>106.04448742746615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IFERROR(__xludf.DUMMYFUNCTION("IMPORTRANGE(""https://docs.google.com/spreadsheets/d/1MeEWN-I1oV_STSDYn1IFDPWt_1FKiwhDph83XaGc0o0/edit?usp=sharing"",""งบพรบ!DV67"")"),0)</f>
        <v>0</v>
      </c>
      <c r="M306" s="92">
        <f ca="1">IFERROR(__xludf.DUMMYFUNCTION("IMPORTRANGE(""https://docs.google.com/spreadsheets/d/1MeEWN-I1oV_STSDYn1IFDPWt_1FKiwhDph83XaGc0o0/edit?usp=sharing"",""งบพรบ!DY67"")"),0)</f>
        <v>0</v>
      </c>
      <c r="N306" s="92">
        <f ca="1">IFERROR(__xludf.DUMMYFUNCTION("IMPORTRANGE(""https://docs.google.com/spreadsheets/d/1MeEWN-I1oV_STSDYn1IFDPWt_1FKiwhDph83XaGc0o0/edit?usp=sharing"",""งบพรบ!EA67"")"),0)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IFERROR(__xludf.DUMMYFUNCTION("IMPORTRANGE(""https://docs.google.com/spreadsheets/d/1QqKyyYR6Q21VydFLVH3TRQUabQu_ym0Zz7PgGX0-kHA/edit?usp=sharing"",""แผน!ED67"")"),15)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IFERROR(__xludf.DUMMYFUNCTION("IMPORTRANGE(""https://docs.google.com/spreadsheets/d/1QqKyyYR6Q21VydFLVH3TRQUabQu_ym0Zz7PgGX0-kHA/edit?usp=sharing"",""แผน!ED67"")"),15)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IFERROR(__xludf.DUMMYFUNCTION("IMPORTRANGE(""https://docs.google.com/spreadsheets/d/1QqKyyYR6Q21VydFLVH3TRQUabQu_ym0Zz7PgGX0-kHA/edit?usp=sharing"",""แผน!ED67"")"),15)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IFERROR(__xludf.DUMMYFUNCTION("IMPORTRANGE(""https://docs.google.com/spreadsheets/d/1QqKyyYR6Q21VydFLVH3TRQUabQu_ym0Zz7PgGX0-kHA/edit?usp=sharing"",""แผน!EE67"")"),3)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IFERROR(__xludf.DUMMYFUNCTION("IMPORTRANGE(""https://docs.google.com/spreadsheets/d/1MeEWN-I1oV_STSDYn1IFDPWt_1FKiwhDph83XaGc0o0/edit?usp=sharing"",""งบพรบ!EC67"")"),0)</f>
        <v>0</v>
      </c>
      <c r="M320" s="92">
        <f ca="1">IFERROR(__xludf.DUMMYFUNCTION("IMPORTRANGE(""https://docs.google.com/spreadsheets/d/1MeEWN-I1oV_STSDYn1IFDPWt_1FKiwhDph83XaGc0o0/edit?usp=sharing"",""งบพรบ!EH67"")"),0)</f>
        <v>0</v>
      </c>
      <c r="N320" s="92">
        <f ca="1">IFERROR(__xludf.DUMMYFUNCTION("IMPORTRANGE(""https://docs.google.com/spreadsheets/d/1MeEWN-I1oV_STSDYn1IFDPWt_1FKiwhDph83XaGc0o0/edit?usp=sharing"",""งบพรบ!EJ67"")"),0)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IFERROR(__xludf.DUMMYFUNCTION("IMPORTRANGE(""https://docs.google.com/spreadsheets/d/1MeEWN-I1oV_STSDYn1IFDPWt_1FKiwhDph83XaGc0o0/edit?usp=sharing"",""งบพรบ!EF67"")"),0)</f>
        <v>0</v>
      </c>
      <c r="M323" s="92">
        <f ca="1">IFERROR(__xludf.DUMMYFUNCTION("IMPORTRANGE(""https://docs.google.com/spreadsheets/d/1MeEWN-I1oV_STSDYn1IFDPWt_1FKiwhDph83XaGc0o0/edit?usp=sharing"",""งบพรบ!EI67"")"),0)</f>
        <v>0</v>
      </c>
      <c r="N323" s="92">
        <f ca="1">IFERROR(__xludf.DUMMYFUNCTION("IMPORTRANGE(""https://docs.google.com/spreadsheets/d/1MeEWN-I1oV_STSDYn1IFDPWt_1FKiwhDph83XaGc0o0/edit?usp=sharing"",""งบพรบ!EK67"")"),0)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IFERROR(__xludf.DUMMYFUNCTION("IMPORTRANGE(""https://docs.google.com/spreadsheets/d/1QqKyyYR6Q21VydFLVH3TRQUabQu_ym0Zz7PgGX0-kHA/edit?usp=sharing"",""แผน!EG67"")"),1600)</f>
        <v>1600</v>
      </c>
      <c r="J327" s="443">
        <f ca="1">J338+J341+J342+J343</f>
        <v>5948</v>
      </c>
      <c r="K327" s="444">
        <f ca="1">IF(I327&gt;0,J327*100/I327,0)</f>
        <v>371.75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687200</v>
      </c>
      <c r="M328" s="154">
        <f ca="1">M329+M330</f>
        <v>689700</v>
      </c>
      <c r="N328" s="154">
        <f ca="1">N329+N330</f>
        <v>689700</v>
      </c>
      <c r="O328" s="154">
        <f t="shared" ref="O328:O336" ca="1" si="56">IF(L328&gt;0,N328*100/L328,0)</f>
        <v>100.36379511059371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687200</v>
      </c>
      <c r="M330" s="92">
        <f t="shared" ca="1" si="58"/>
        <v>689700</v>
      </c>
      <c r="N330" s="92">
        <f t="shared" ca="1" si="58"/>
        <v>689700</v>
      </c>
      <c r="O330" s="92">
        <f t="shared" ca="1" si="56"/>
        <v>100.36379511059371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687200</v>
      </c>
      <c r="M331" s="497">
        <f ca="1">M332+M333</f>
        <v>689700</v>
      </c>
      <c r="N331" s="497">
        <f ca="1">N332+N333</f>
        <v>689700</v>
      </c>
      <c r="O331" s="497">
        <f t="shared" ca="1" si="56"/>
        <v>100.36379511059371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IFERROR(__xludf.DUMMYFUNCTION("IMPORTRANGE(""https://docs.google.com/spreadsheets/d/1MeEWN-I1oV_STSDYn1IFDPWt_1FKiwhDph83XaGc0o0/edit?usp=sharing"",""งบพรบ!EM67"")"),687200)</f>
        <v>687200</v>
      </c>
      <c r="M333" s="92">
        <f ca="1">IFERROR(__xludf.DUMMYFUNCTION("IMPORTRANGE(""https://docs.google.com/spreadsheets/d/1MeEWN-I1oV_STSDYn1IFDPWt_1FKiwhDph83XaGc0o0/edit?usp=sharing"",""งบพรบ!ER67"")"),689700)</f>
        <v>689700</v>
      </c>
      <c r="N333" s="92">
        <f ca="1">IFERROR(__xludf.DUMMYFUNCTION("IMPORTRANGE(""https://docs.google.com/spreadsheets/d/1MeEWN-I1oV_STSDYn1IFDPWt_1FKiwhDph83XaGc0o0/edit?usp=sharing"",""งบพรบ!ET67"")"),689700)</f>
        <v>689700</v>
      </c>
      <c r="O333" s="92">
        <f t="shared" ca="1" si="56"/>
        <v>100.36379511059371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IFERROR(__xludf.DUMMYFUNCTION("IMPORTRANGE(""https://docs.google.com/spreadsheets/d/1MeEWN-I1oV_STSDYn1IFDPWt_1FKiwhDph83XaGc0o0/edit?usp=sharing"",""งบพรบ!EP67"")"),0)</f>
        <v>0</v>
      </c>
      <c r="M336" s="92">
        <f ca="1">IFERROR(__xludf.DUMMYFUNCTION("IMPORTRANGE(""https://docs.google.com/spreadsheets/d/1MeEWN-I1oV_STSDYn1IFDPWt_1FKiwhDph83XaGc0o0/edit?usp=sharing"",""งบพรบ!ES67"")"),0)</f>
        <v>0</v>
      </c>
      <c r="N336" s="92">
        <f ca="1">IFERROR(__xludf.DUMMYFUNCTION("IMPORTRANGE(""https://docs.google.com/spreadsheets/d/1MeEWN-I1oV_STSDYn1IFDPWt_1FKiwhDph83XaGc0o0/edit?usp=sharing"",""งบพรบ!EU67"")"),0)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IFERROR(__xludf.DUMMYFUNCTION("IMPORTRANGE(""https://docs.google.com/spreadsheets/d/1QqKyyYR6Q21VydFLVH3TRQUabQu_ym0Zz7PgGX0-kHA/edit?usp=sharing"",""แผน!EG67"")"),1600)</f>
        <v>1600</v>
      </c>
      <c r="J338" s="269">
        <f ca="1">IFERROR(__xludf.DUMMYFUNCTION("IMPORTRANGE(""https://docs.google.com/spreadsheets/d/1kVcqe37tkHyjCSG3S0O1AXqVkqjo8mSIZil3BcpIysc/edit?usp=sharing"",""ศูนย์!D67"")"),5772)</f>
        <v>5772</v>
      </c>
      <c r="K338" s="497">
        <f ca="1">IF(I338&gt;0,J338*100/I338,0)</f>
        <v>360.75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IFERROR(__xludf.DUMMYFUNCTION("IMPORTRANGE(""https://docs.google.com/spreadsheets/d/1QqKyyYR6Q21VydFLVH3TRQUabQu_ym0Zz7PgGX0-kHA/edit?usp=sharing"",""แผน!EH67"")"),6)</f>
        <v>6</v>
      </c>
      <c r="J340" s="269">
        <f ca="1">IFERROR(__xludf.DUMMYFUNCTION("IMPORTRANGE(""https://docs.google.com/spreadsheets/d/1kVcqe37tkHyjCSG3S0O1AXqVkqjo8mSIZil3BcpIysc/edit?usp=sharing"",""ศูนย์!E67"")"),6)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IFERROR(__xludf.DUMMYFUNCTION("IMPORTRANGE(""https://docs.google.com/spreadsheets/d/1kVcqe37tkHyjCSG3S0O1AXqVkqjo8mSIZil3BcpIysc/edit?usp=sharing"",""ศูนย์!F67"")"),167)</f>
        <v>167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IFERROR(__xludf.DUMMYFUNCTION("IMPORTRANGE(""https://docs.google.com/spreadsheets/d/1kVcqe37tkHyjCSG3S0O1AXqVkqjo8mSIZil3BcpIysc/edit?usp=sharing"",""ศูนย์!G67"")"),9)</f>
        <v>9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372250</v>
      </c>
      <c r="M345" s="154">
        <f ca="1">M346+M347</f>
        <v>516450</v>
      </c>
      <c r="N345" s="154">
        <f ca="1">N346+N347</f>
        <v>516450</v>
      </c>
      <c r="O345" s="154">
        <f t="shared" ref="O345:O353" ca="1" si="59">IF(L345&gt;0,N345*100/L345,0)</f>
        <v>138.73740765614505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372250</v>
      </c>
      <c r="M347" s="92">
        <f t="shared" ca="1" si="61"/>
        <v>516450</v>
      </c>
      <c r="N347" s="92">
        <f t="shared" ca="1" si="61"/>
        <v>516450</v>
      </c>
      <c r="O347" s="92">
        <f t="shared" ca="1" si="59"/>
        <v>138.73740765614505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357250</v>
      </c>
      <c r="M348" s="497">
        <f ca="1">M349+M350</f>
        <v>501450</v>
      </c>
      <c r="N348" s="497">
        <f ca="1">N349+N350</f>
        <v>501450</v>
      </c>
      <c r="O348" s="497">
        <f t="shared" ca="1" si="59"/>
        <v>140.36389083275017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IFERROR(__xludf.DUMMYFUNCTION("IMPORTRANGE(""https://docs.google.com/spreadsheets/d/1MeEWN-I1oV_STSDYn1IFDPWt_1FKiwhDph83XaGc0o0/edit?usp=sharing"",""งบพรบ!EW67"")"),357250)</f>
        <v>357250</v>
      </c>
      <c r="M350" s="92">
        <f ca="1">IFERROR(__xludf.DUMMYFUNCTION("IMPORTRANGE(""https://docs.google.com/spreadsheets/d/1MeEWN-I1oV_STSDYn1IFDPWt_1FKiwhDph83XaGc0o0/edit?usp=sharing"",""งบพรบ!FB67"")"),501450)</f>
        <v>501450</v>
      </c>
      <c r="N350" s="92">
        <f ca="1">IFERROR(__xludf.DUMMYFUNCTION("IMPORTRANGE(""https://docs.google.com/spreadsheets/d/1MeEWN-I1oV_STSDYn1IFDPWt_1FKiwhDph83XaGc0o0/edit?usp=sharing"",""งบพรบ!FD67"")"),501450)</f>
        <v>501450</v>
      </c>
      <c r="O350" s="92">
        <f t="shared" ca="1" si="59"/>
        <v>140.36389083275017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15000</v>
      </c>
      <c r="M351" s="497">
        <f ca="1">M352+M353</f>
        <v>15000</v>
      </c>
      <c r="N351" s="497">
        <f ca="1">N352+N353</f>
        <v>15000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IFERROR(__xludf.DUMMYFUNCTION("IMPORTRANGE(""https://docs.google.com/spreadsheets/d/1MeEWN-I1oV_STSDYn1IFDPWt_1FKiwhDph83XaGc0o0/edit?usp=sharing"",""งบพรบ!EZ67"")"),15000)</f>
        <v>15000</v>
      </c>
      <c r="M353" s="92">
        <f ca="1">IFERROR(__xludf.DUMMYFUNCTION("IMPORTRANGE(""https://docs.google.com/spreadsheets/d/1MeEWN-I1oV_STSDYn1IFDPWt_1FKiwhDph83XaGc0o0/edit?usp=sharing"",""งบพรบ!FC67"")"),15000)</f>
        <v>15000</v>
      </c>
      <c r="N353" s="92">
        <f ca="1">IFERROR(__xludf.DUMMYFUNCTION("IMPORTRANGE(""https://docs.google.com/spreadsheets/d/1MeEWN-I1oV_STSDYn1IFDPWt_1FKiwhDph83XaGc0o0/edit?usp=sharing"",""งบพรบ!FE67"")"),15000)</f>
        <v>15000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IFERROR(__xludf.DUMMYFUNCTION("IMPORTRANGE(""https://docs.google.com/spreadsheets/d/1QqKyyYR6Q21VydFLVH3TRQUabQu_ym0Zz7PgGX0-kHA/edit?usp=sharing"",""แผน!EP67"")"),215)</f>
        <v>215</v>
      </c>
      <c r="J355" s="464">
        <f ca="1">J362</f>
        <v>253</v>
      </c>
      <c r="K355" s="465">
        <f ca="1">IF(I355&gt;0,J355*100/I355,0)</f>
        <v>117.67441860465117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IFERROR(__xludf.DUMMYFUNCTION("IMPORTRANGE(""https://docs.google.com/spreadsheets/d/1XWAQStnk-4SwqDmLtmXYiTMKHgktTP8We1SCoS47DrQ/edit?usp=sharing"",""จัดที่ดิน!W67"")"),253)</f>
        <v>253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IFERROR(__xludf.DUMMYFUNCTION("IMPORTRANGE(""https://docs.google.com/spreadsheets/d/1QqKyyYR6Q21VydFLVH3TRQUabQu_ym0Zz7PgGX0-kHA/edit?usp=sharing"",""แผน!EO67"")"),2500)</f>
        <v>2500</v>
      </c>
      <c r="J359" s="269">
        <f ca="1">IFERROR(__xludf.DUMMYFUNCTION("IMPORTRANGE(""https://docs.google.com/spreadsheets/d/1XWAQStnk-4SwqDmLtmXYiTMKHgktTP8We1SCoS47DrQ/edit?usp=sharing"",""จัดที่ดิน!X67"")"),2032.59)</f>
        <v>2032.59</v>
      </c>
      <c r="K359" s="497">
        <f t="shared" ca="1" si="62"/>
        <v>81.303600000000003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IFERROR(__xludf.DUMMYFUNCTION("IMPORTRANGE(""https://docs.google.com/spreadsheets/d/1QqKyyYR6Q21VydFLVH3TRQUabQu_ym0Zz7PgGX0-kHA/edit?usp=sharing"",""แผน!EP67"")"),215)</f>
        <v>215</v>
      </c>
      <c r="J360" s="269">
        <f ca="1">IFERROR(__xludf.DUMMYFUNCTION("IMPORTRANGE(""https://docs.google.com/spreadsheets/d/1XWAQStnk-4SwqDmLtmXYiTMKHgktTP8We1SCoS47DrQ/edit?usp=sharing"",""จัดที่ดิน!Y67"")"),330)</f>
        <v>330</v>
      </c>
      <c r="K360" s="497">
        <f t="shared" ca="1" si="62"/>
        <v>153.48837209302326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IFERROR(__xludf.DUMMYFUNCTION("IMPORTRANGE(""https://docs.google.com/spreadsheets/d/1XWAQStnk-4SwqDmLtmXYiTMKHgktTP8We1SCoS47DrQ/edit?usp=sharing"",""จัดที่ดิน!Z67"")"),3135.81)</f>
        <v>3135.81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IFERROR(__xludf.DUMMYFUNCTION("IMPORTRANGE(""https://docs.google.com/spreadsheets/d/1QqKyyYR6Q21VydFLVH3TRQUabQu_ym0Zz7PgGX0-kHA/edit?usp=sharing"",""แผน!EP67"")"),215)</f>
        <v>215</v>
      </c>
      <c r="J362" s="269">
        <f ca="1">IFERROR(__xludf.DUMMYFUNCTION("IMPORTRANGE(""https://docs.google.com/spreadsheets/d/1XWAQStnk-4SwqDmLtmXYiTMKHgktTP8We1SCoS47DrQ/edit?usp=sharing"",""จัดที่ดิน!AA67"")"),253)</f>
        <v>253</v>
      </c>
      <c r="K362" s="497">
        <f t="shared" ca="1" si="62"/>
        <v>117.67441860465117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IFERROR(__xludf.DUMMYFUNCTION("IMPORTRANGE(""https://docs.google.com/spreadsheets/d/1XWAQStnk-4SwqDmLtmXYiTMKHgktTP8We1SCoS47DrQ/edit?usp=sharing"",""จัดที่ดิน!AB67"")"),2345.78)</f>
        <v>2345.7800000000002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365</v>
      </c>
      <c r="J364" s="478">
        <f ca="1">J365+J374</f>
        <v>380</v>
      </c>
      <c r="K364" s="479">
        <f t="shared" ca="1" si="62"/>
        <v>104.10958904109589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122</v>
      </c>
      <c r="K365" s="491">
        <f t="shared" ca="1" si="62"/>
        <v>101.66666666666667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IFERROR(__xludf.DUMMYFUNCTION("IMPORTRANGE(""https://docs.google.com/spreadsheets/d/1XWAQStnk-4SwqDmLtmXYiTMKHgktTP8We1SCoS47DrQ/edit?usp=sharing"",""จัดที่ดิน!E67"")"),123)</f>
        <v>123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IFERROR(__xludf.DUMMYFUNCTION("IMPORTRANGE(""https://docs.google.com/spreadsheets/d/1QqKyyYR6Q21VydFLVH3TRQUabQu_ym0Zz7PgGX0-kHA/edit?usp=sharing"",""แผน!EI67"")"),1500)</f>
        <v>1500</v>
      </c>
      <c r="J369" s="269">
        <f ca="1">IFERROR(__xludf.DUMMYFUNCTION("IMPORTRANGE(""https://docs.google.com/spreadsheets/d/1XWAQStnk-4SwqDmLtmXYiTMKHgktTP8We1SCoS47DrQ/edit?usp=sharing"",""จัดที่ดิน!F67"")"),1269.85)</f>
        <v>1269.8499999999999</v>
      </c>
      <c r="K369" s="497">
        <f t="shared" ca="1" si="63"/>
        <v>84.656666666666652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IFERROR(__xludf.DUMMYFUNCTION("IMPORTRANGE(""https://docs.google.com/spreadsheets/d/1QqKyyYR6Q21VydFLVH3TRQUabQu_ym0Zz7PgGX0-kHA/edit?usp=sharing"",""แผน!EJ67"")"),120)</f>
        <v>120</v>
      </c>
      <c r="J370" s="269">
        <f ca="1">IFERROR(__xludf.DUMMYFUNCTION("IMPORTRANGE(""https://docs.google.com/spreadsheets/d/1XWAQStnk-4SwqDmLtmXYiTMKHgktTP8We1SCoS47DrQ/edit?usp=sharing"",""จัดที่ดิน!G67"")"),198)</f>
        <v>198</v>
      </c>
      <c r="K370" s="497">
        <f t="shared" ca="1" si="63"/>
        <v>165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IFERROR(__xludf.DUMMYFUNCTION("IMPORTRANGE(""https://docs.google.com/spreadsheets/d/1XWAQStnk-4SwqDmLtmXYiTMKHgktTP8We1SCoS47DrQ/edit?usp=sharing"",""จัดที่ดิน!H67"")"),2353.07)</f>
        <v>2353.0700000000002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IFERROR(__xludf.DUMMYFUNCTION("IMPORTRANGE(""https://docs.google.com/spreadsheets/d/1QqKyyYR6Q21VydFLVH3TRQUabQu_ym0Zz7PgGX0-kHA/edit?usp=sharing"",""แผน!EJ67"")"),120)</f>
        <v>120</v>
      </c>
      <c r="J372" s="269">
        <f ca="1">IFERROR(__xludf.DUMMYFUNCTION("IMPORTRANGE(""https://docs.google.com/spreadsheets/d/1XWAQStnk-4SwqDmLtmXYiTMKHgktTP8We1SCoS47DrQ/edit?usp=sharing"",""จัดที่ดิน!I67"")"),122)</f>
        <v>122</v>
      </c>
      <c r="K372" s="497">
        <f t="shared" ca="1" si="63"/>
        <v>101.66666666666667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IFERROR(__xludf.DUMMYFUNCTION("IMPORTRANGE(""https://docs.google.com/spreadsheets/d/1XWAQStnk-4SwqDmLtmXYiTMKHgktTP8We1SCoS47DrQ/edit?usp=sharing"",""จัดที่ดิน!J67"")"),1563.17)</f>
        <v>1563.17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IFERROR(__xludf.DUMMYFUNCTION("IMPORTRANGE(""https://docs.google.com/spreadsheets/d/1QqKyyYR6Q21VydFLVH3TRQUabQu_ym0Zz7PgGX0-kHA/edit?usp=sharing"",""แผน!EU67"")"),245)</f>
        <v>245</v>
      </c>
      <c r="J374" s="490">
        <f ca="1">J381</f>
        <v>258</v>
      </c>
      <c r="K374" s="491">
        <f t="shared" ca="1" si="63"/>
        <v>105.30612244897959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IFERROR(__xludf.DUMMYFUNCTION("IMPORTRANGE(""https://docs.google.com/spreadsheets/d/1XWAQStnk-4SwqDmLtmXYiTMKHgktTP8We1SCoS47DrQ/edit?usp=sharing"",""จัดที่ดิน!AH67"")"),130)</f>
        <v>130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IFERROR(__xludf.DUMMYFUNCTION("IMPORTRANGE(""https://docs.google.com/spreadsheets/d/1QqKyyYR6Q21VydFLVH3TRQUabQu_ym0Zz7PgGX0-kHA/edit?usp=sharing"",""แผน!ET67"")"),1000)</f>
        <v>1000</v>
      </c>
      <c r="J378" s="269">
        <f ca="1">IFERROR(__xludf.DUMMYFUNCTION("IMPORTRANGE(""https://docs.google.com/spreadsheets/d/1XWAQStnk-4SwqDmLtmXYiTMKHgktTP8We1SCoS47DrQ/edit?usp=sharing"",""จัดที่ดิน!AI67"")"),762.74)</f>
        <v>762.74</v>
      </c>
      <c r="K378" s="497">
        <f t="shared" ca="1" si="64"/>
        <v>76.274000000000001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IFERROR(__xludf.DUMMYFUNCTION("IMPORTRANGE(""https://docs.google.com/spreadsheets/d/1QqKyyYR6Q21VydFLVH3TRQUabQu_ym0Zz7PgGX0-kHA/edit?usp=sharing"",""แผน!EU67"")"),245)</f>
        <v>245</v>
      </c>
      <c r="J379" s="269">
        <f ca="1">IFERROR(__xludf.DUMMYFUNCTION("IMPORTRANGE(""https://docs.google.com/spreadsheets/d/1XWAQStnk-4SwqDmLtmXYiTMKHgktTP8We1SCoS47DrQ/edit?usp=sharing"",""จัดที่ดิน!AJ67"")"),259)</f>
        <v>259</v>
      </c>
      <c r="K379" s="497">
        <f t="shared" ca="1" si="64"/>
        <v>105.71428571428571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IFERROR(__xludf.DUMMYFUNCTION("IMPORTRANGE(""https://docs.google.com/spreadsheets/d/1XWAQStnk-4SwqDmLtmXYiTMKHgktTP8We1SCoS47DrQ/edit?usp=sharing"",""จัดที่ดิน!AK67"")"),2268.84)</f>
        <v>2268.84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IFERROR(__xludf.DUMMYFUNCTION("IMPORTRANGE(""https://docs.google.com/spreadsheets/d/1QqKyyYR6Q21VydFLVH3TRQUabQu_ym0Zz7PgGX0-kHA/edit?usp=sharing"",""แผน!EU67"")"),245)</f>
        <v>245</v>
      </c>
      <c r="J381" s="269">
        <f ca="1">IFERROR(__xludf.DUMMYFUNCTION("IMPORTRANGE(""https://docs.google.com/spreadsheets/d/1XWAQStnk-4SwqDmLtmXYiTMKHgktTP8We1SCoS47DrQ/edit?usp=sharing"",""จัดที่ดิน!AL67"")"),258)</f>
        <v>258</v>
      </c>
      <c r="K381" s="497">
        <f t="shared" ca="1" si="64"/>
        <v>105.30612244897959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IFERROR(__xludf.DUMMYFUNCTION("IMPORTRANGE(""https://docs.google.com/spreadsheets/d/1XWAQStnk-4SwqDmLtmXYiTMKHgktTP8We1SCoS47DrQ/edit?usp=sharing"",""จัดที่ดิน!AM67"")"),2262.77)</f>
        <v>2262.77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IFERROR(__xludf.DUMMYFUNCTION("IMPORTRANGE(""https://docs.google.com/spreadsheets/d/1XWAQStnk-4SwqDmLtmXYiTMKHgktTP8We1SCoS47DrQ/edit?usp=sharing"",""จัดที่ดิน!AP67"")"),6)</f>
        <v>6</v>
      </c>
      <c r="K385" s="502">
        <f ca="1">IF(I385&gt;0,J385*100/I385,0)</f>
        <v>60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IFERROR(__xludf.DUMMYFUNCTION("IMPORTRANGE(""https://docs.google.com/spreadsheets/d/1MeEWN-I1oV_STSDYn1IFDPWt_1FKiwhDph83XaGc0o0/edit?usp=sharing"",""งบพรบ!FG67"")"),0)</f>
        <v>0</v>
      </c>
      <c r="M394" s="92">
        <f ca="1">IFERROR(__xludf.DUMMYFUNCTION("IMPORTRANGE(""https://docs.google.com/spreadsheets/d/1MeEWN-I1oV_STSDYn1IFDPWt_1FKiwhDph83XaGc0o0/edit?usp=sharing"",""งบพรบ!FL67"")"),0)</f>
        <v>0</v>
      </c>
      <c r="N394" s="92">
        <f ca="1">IFERROR(__xludf.DUMMYFUNCTION("IMPORTRANGE(""https://docs.google.com/spreadsheets/d/1MeEWN-I1oV_STSDYn1IFDPWt_1FKiwhDph83XaGc0o0/edit?usp=sharing"",""งบพรบ!FN67"")"),0)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IFERROR(__xludf.DUMMYFUNCTION("IMPORTRANGE(""https://docs.google.com/spreadsheets/d/1MeEWN-I1oV_STSDYn1IFDPWt_1FKiwhDph83XaGc0o0/edit?usp=sharing"",""งบพรบ!FJ67"")"),0)</f>
        <v>0</v>
      </c>
      <c r="M397" s="92">
        <f ca="1">IFERROR(__xludf.DUMMYFUNCTION("IMPORTRANGE(""https://docs.google.com/spreadsheets/d/1MeEWN-I1oV_STSDYn1IFDPWt_1FKiwhDph83XaGc0o0/edit?usp=sharing"",""งบพรบ!FM67"")"),0)</f>
        <v>0</v>
      </c>
      <c r="N397" s="92">
        <f ca="1">IFERROR(__xludf.DUMMYFUNCTION("IMPORTRANGE(""https://docs.google.com/spreadsheets/d/1MeEWN-I1oV_STSDYn1IFDPWt_1FKiwhDph83XaGc0o0/edit?usp=sharing"",""งบพรบ!FO67"")"),0)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IFERROR(__xludf.DUMMYFUNCTION("IMPORTRANGE(""https://docs.google.com/spreadsheets/d/1MeEWN-I1oV_STSDYn1IFDPWt_1FKiwhDph83XaGc0o0/edit?usp=sharing"",""งบพรบ!FQ67"")"),0)</f>
        <v>0</v>
      </c>
      <c r="M407" s="92">
        <f ca="1">IFERROR(__xludf.DUMMYFUNCTION("IMPORTRANGE(""https://docs.google.com/spreadsheets/d/1MeEWN-I1oV_STSDYn1IFDPWt_1FKiwhDph83XaGc0o0/edit?usp=sharing"",""งบพรบ!FV67"")"),0)</f>
        <v>0</v>
      </c>
      <c r="N407" s="92">
        <f ca="1">IFERROR(__xludf.DUMMYFUNCTION("IMPORTRANGE(""https://docs.google.com/spreadsheets/d/1MeEWN-I1oV_STSDYn1IFDPWt_1FKiwhDph83XaGc0o0/edit?usp=sharing"",""งบพรบ!FX67"")"),0)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IFERROR(__xludf.DUMMYFUNCTION("IMPORTRANGE(""https://docs.google.com/spreadsheets/d/1MeEWN-I1oV_STSDYn1IFDPWt_1FKiwhDph83XaGc0o0/edit?usp=sharing"",""งบพรบ!FT67"")"),0)</f>
        <v>0</v>
      </c>
      <c r="M410" s="92">
        <f ca="1">IFERROR(__xludf.DUMMYFUNCTION("IMPORTRANGE(""https://docs.google.com/spreadsheets/d/1MeEWN-I1oV_STSDYn1IFDPWt_1FKiwhDph83XaGc0o0/edit?usp=sharing"",""งบพรบ!FW67"")"),0)</f>
        <v>0</v>
      </c>
      <c r="N410" s="92">
        <f ca="1">IFERROR(__xludf.DUMMYFUNCTION("IMPORTRANGE(""https://docs.google.com/spreadsheets/d/1MeEWN-I1oV_STSDYn1IFDPWt_1FKiwhDph83XaGc0o0/edit?usp=sharing"",""งบพรบ!FY67"")"),0)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1442038</v>
      </c>
      <c r="M414" s="549">
        <f ca="1">M419+M444+M467+M502+M523+M544+M629+M655+M685+M737+M754+M770+M786+M805</f>
        <v>1343418.48</v>
      </c>
      <c r="N414" s="549">
        <f>N419+N444+N467+N502+N523+N544+N629+N655+N685+N737+N754+N770+N786+N805</f>
        <v>1343418.48</v>
      </c>
      <c r="O414" s="549">
        <f ca="1">IF(L414&gt;0,N414*100/L414,0)</f>
        <v>93.161101163769615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>J433</f>
        <v>36</v>
      </c>
      <c r="K417" s="566">
        <f ca="1">IF(I417&gt;0,J417*100/I417,0)</f>
        <v>180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3</v>
      </c>
      <c r="K418" s="566">
        <f ca="1">IF(I418&gt;0,J418*100/I418,0)</f>
        <v>300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89299.56</v>
      </c>
      <c r="N419" s="154">
        <f>N420+N421</f>
        <v>89299.56</v>
      </c>
      <c r="O419" s="154">
        <f t="shared" ref="O419:O424" ca="1" si="71">IF(L419&gt;0,N419*100/L419,0)</f>
        <v>113.52601067887109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89299.56</v>
      </c>
      <c r="N421" s="92">
        <f t="shared" si="73"/>
        <v>89299.56</v>
      </c>
      <c r="O421" s="92">
        <f t="shared" ca="1" si="71"/>
        <v>113.52601067887109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89299.56</v>
      </c>
      <c r="N422" s="497">
        <f>N423+N424</f>
        <v>89299.56</v>
      </c>
      <c r="O422" s="497">
        <f t="shared" ca="1" si="71"/>
        <v>113.52601067887109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IFERROR(__xludf.DUMMYFUNCTION("IMPORTRANGE(""https://docs.google.com/spreadsheets/d/1QqKyyYR6Q21VydFLVH3TRQUabQu_ym0Zz7PgGX0-kHA/edit?usp=sharing"",""แผน!EY67"")"),78660)</f>
        <v>78660</v>
      </c>
      <c r="M424" s="92">
        <f ca="1">L424+16900-1860-4400.44</f>
        <v>89299.56</v>
      </c>
      <c r="N424" s="92">
        <f>N425+N426+N427+N428</f>
        <v>89299.56</v>
      </c>
      <c r="O424" s="92">
        <f t="shared" ca="1" si="71"/>
        <v>113.52601067887109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f>52138.46-6260.44</f>
        <v>45878.02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43421.54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v>36</v>
      </c>
      <c r="K433" s="194">
        <f ca="1">IF(I433&gt;0,J433*100/I433,0)</f>
        <v>180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3</v>
      </c>
      <c r="K434" s="194">
        <f ca="1">IF(I434&gt;0,J434*100/I434,0)</f>
        <v>300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ca="1">IF(I435&gt;0,J435*100/I435,0)</f>
        <v>180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IFERROR(__xludf.DUMMYFUNCTION("IMPORTRANGE(""https://docs.google.com/spreadsheets/d/1QqKyyYR6Q21VydFLVH3TRQUabQu_ym0Zz7PgGX0-kHA/edit?usp=sharing"",""แผน!FE67"")"),0)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74"/>
        <v>180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IFERROR(__xludf.DUMMYFUNCTION("IMPORTRANGE(""https://docs.google.com/spreadsheets/d/1QqKyyYR6Q21VydFLVH3TRQUabQu_ym0Zz7PgGX0-kHA/edit?usp=sharing"",""แผน!FG67"")"),1)</f>
        <v>1</v>
      </c>
      <c r="J440" s="214">
        <v>3</v>
      </c>
      <c r="K440" s="497">
        <f t="shared" ca="1" si="74"/>
        <v>300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IFERROR(__xludf.DUMMYFUNCTION("IMPORTRANGE(""https://docs.google.com/spreadsheets/d/1QqKyyYR6Q21VydFLVH3TRQUabQu_ym0Zz7PgGX0-kHA/edit?usp=sharing"",""แผน!FH67"")"),0)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IFERROR(__xludf.DUMMYFUNCTION("IMPORTRANGE(""https://docs.google.com/spreadsheets/d/1QqKyyYR6Q21VydFLVH3TRQUabQu_ym0Zz7PgGX0-kHA/edit?usp=sharing"",""แผน!FJ67"")"),0)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IFERROR(__xludf.DUMMYFUNCTION("IMPORTRANGE(""https://docs.google.com/spreadsheets/d/1QqKyyYR6Q21VydFLVH3TRQUabQu_ym0Zz7PgGX0-kHA/edit?usp=sharing"",""แผน!FN67"")"),0)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IFERROR(__xludf.DUMMYFUNCTION("IMPORTRANGE(""https://docs.google.com/spreadsheets/d/1QqKyyYR6Q21VydFLVH3TRQUabQu_ym0Zz7PgGX0-kHA/edit?usp=sharing"",""แผน!FO67"")"),0)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IFERROR(__xludf.DUMMYFUNCTION("IMPORTRANGE(""https://docs.google.com/spreadsheets/d/1QqKyyYR6Q21VydFLVH3TRQUabQu_ym0Zz7PgGX0-kHA/edit?usp=sharing"",""แผน!FO67"")"),0)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IFERROR(__xludf.DUMMYFUNCTION("IMPORTRANGE(""https://docs.google.com/spreadsheets/d/1QqKyyYR6Q21VydFLVH3TRQUabQu_ym0Zz7PgGX0-kHA/edit?usp=sharing"",""แผน!FN67"")"),0)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ca="1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481323</v>
      </c>
      <c r="M467" s="194">
        <f ca="1">M468+M469</f>
        <v>486543</v>
      </c>
      <c r="N467" s="194">
        <f>N468+N469</f>
        <v>486543</v>
      </c>
      <c r="O467" s="194">
        <f t="shared" ref="O467:O472" ca="1" si="78">IF(L467&gt;0,N467*100/L467,0)</f>
        <v>101.08451081706048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481323</v>
      </c>
      <c r="M469" s="92">
        <f t="shared" ca="1" si="80"/>
        <v>486543</v>
      </c>
      <c r="N469" s="92">
        <f t="shared" si="80"/>
        <v>486543</v>
      </c>
      <c r="O469" s="92">
        <f t="shared" ca="1" si="78"/>
        <v>101.08451081706048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481323</v>
      </c>
      <c r="M470" s="497">
        <f ca="1">M471+M472</f>
        <v>486543</v>
      </c>
      <c r="N470" s="497">
        <f>N471+N472</f>
        <v>486543</v>
      </c>
      <c r="O470" s="497">
        <f t="shared" ca="1" si="78"/>
        <v>101.08451081706048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IFERROR(__xludf.DUMMYFUNCTION("IMPORTRANGE(""https://docs.google.com/spreadsheets/d/1QqKyyYR6Q21VydFLVH3TRQUabQu_ym0Zz7PgGX0-kHA/edit?usp=sharing"",""แผน!FS67"")"),481323)</f>
        <v>481323</v>
      </c>
      <c r="M472" s="92">
        <f ca="1">L472+5220</f>
        <v>486543</v>
      </c>
      <c r="N472" s="92">
        <f>N473+N474+N475+N476</f>
        <v>486543</v>
      </c>
      <c r="O472" s="92">
        <f t="shared" ca="1" si="78"/>
        <v>101.08451081706048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376000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30450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IFERROR(__xludf.DUMMYFUNCTION("IMPORTRANGE(""https://docs.google.com/spreadsheets/d/1QqKyyYR6Q21VydFLVH3TRQUabQu_ym0Zz7PgGX0-kHA/edit?usp=sharing"",""แผน!FY67"")"),540)</f>
        <v>540</v>
      </c>
      <c r="J483" s="214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IFERROR(__xludf.DUMMYFUNCTION("IMPORTRANGE(""https://docs.google.com/spreadsheets/d/1QqKyyYR6Q21VydFLVH3TRQUabQu_ym0Zz7PgGX0-kHA/edit?usp=sharing"",""แผน!FZ67"")"),54)</f>
        <v>54</v>
      </c>
      <c r="J485" s="214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IFERROR(__xludf.DUMMYFUNCTION("IMPORTRANGE(""https://docs.google.com/spreadsheets/d/1QqKyyYR6Q21VydFLVH3TRQUabQu_ym0Zz7PgGX0-kHA/edit?usp=sharing"",""แผน!GA67"")"),60)</f>
        <v>60</v>
      </c>
      <c r="J487" s="214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IFERROR(__xludf.DUMMYFUNCTION("IMPORTRANGE(""https://docs.google.com/spreadsheets/d/1QqKyyYR6Q21VydFLVH3TRQUabQu_ym0Zz7PgGX0-kHA/edit?usp=sharing"",""แผน!GB67"")"),6)</f>
        <v>6</v>
      </c>
      <c r="J489" s="214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IFERROR(__xludf.DUMMYFUNCTION("IMPORTRANGE(""https://docs.google.com/spreadsheets/d/1QqKyyYR6Q21VydFLVH3TRQUabQu_ym0Zz7PgGX0-kHA/edit?usp=sharing"",""แผน!GC67"")"),1)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IFERROR(__xludf.DUMMYFUNCTION("IMPORTRANGE(""https://docs.google.com/spreadsheets/d/1QqKyyYR6Q21VydFLVH3TRQUabQu_ym0Zz7PgGX0-kHA/edit?usp=sharing"",""แผน!FY67"")"),540)</f>
        <v>540</v>
      </c>
      <c r="J495" s="214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540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IFERROR(__xludf.DUMMYFUNCTION("IMPORTRANGE(""https://docs.google.com/spreadsheets/d/1QqKyyYR6Q21VydFLVH3TRQUabQu_ym0Zz7PgGX0-kHA/edit?usp=sharing"",""แผน!GA67"")"),60)</f>
        <v>60</v>
      </c>
      <c r="J498" s="214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IFERROR(__xludf.DUMMYFUNCTION("IMPORTRANGE(""https://docs.google.com/spreadsheets/d/1QqKyyYR6Q21VydFLVH3TRQUabQu_ym0Zz7PgGX0-kHA/edit?usp=sharing"",""แผน!GV67"")"),0)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IFERROR(__xludf.DUMMYFUNCTION("IMPORTRANGE(""https://docs.google.com/spreadsheets/d/1QqKyyYR6Q21VydFLVH3TRQUabQu_ym0Zz7PgGX0-kHA/edit?usp=sharing"",""แผน!GW67"")"),0)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IFERROR(__xludf.DUMMYFUNCTION("IMPORTRANGE(""https://docs.google.com/spreadsheets/d/1QqKyyYR6Q21VydFLVH3TRQUabQu_ym0Zz7PgGX0-kHA/edit?usp=sharing"",""แผน!GX67"")"),0)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IFERROR(__xludf.DUMMYFUNCTION("IMPORTRANGE(""https://docs.google.com/spreadsheets/d/1QqKyyYR6Q21VydFLVH3TRQUabQu_ym0Zz7PgGX0-kHA/edit?usp=sharing"",""แผน!GY67"")"),0)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IFERROR(__xludf.DUMMYFUNCTION("IMPORTRANGE(""https://docs.google.com/spreadsheets/d/1QqKyyYR6Q21VydFLVH3TRQUabQu_ym0Zz7PgGX0-kHA/edit?usp=sharing"",""แผน!GZ67"")"),0)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255500</v>
      </c>
      <c r="M544" s="154">
        <f ca="1">M545+M546</f>
        <v>252927.24</v>
      </c>
      <c r="N544" s="154">
        <f>N545+N546</f>
        <v>252927.24</v>
      </c>
      <c r="O544" s="154">
        <f t="shared" ref="O544:O549" ca="1" si="88">IF(L544&gt;0,N544*100/L544,0)</f>
        <v>98.993048923679055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255500</v>
      </c>
      <c r="M546" s="92">
        <f ca="1">M549+M556</f>
        <v>252927.24</v>
      </c>
      <c r="N546" s="92">
        <f>N549+N556</f>
        <v>252927.24</v>
      </c>
      <c r="O546" s="92">
        <f t="shared" ca="1" si="88"/>
        <v>98.993048923679055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255500</v>
      </c>
      <c r="M547" s="497">
        <f ca="1">M548+M549</f>
        <v>252927.24</v>
      </c>
      <c r="N547" s="497">
        <f>N548+N549</f>
        <v>252927.24</v>
      </c>
      <c r="O547" s="497">
        <f t="shared" ca="1" si="88"/>
        <v>98.993048923679055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IFERROR(__xludf.DUMMYFUNCTION("IMPORTRANGE(""https://docs.google.com/spreadsheets/d/1QqKyyYR6Q21VydFLVH3TRQUabQu_ym0Zz7PgGX0-kHA/edit?usp=sharing"",""แผน!HB67"")"),255500)</f>
        <v>255500</v>
      </c>
      <c r="M549" s="92">
        <f ca="1">L549-2572.76</f>
        <v>252927.24</v>
      </c>
      <c r="N549" s="92">
        <f>N550+N551+N552+N553+N554</f>
        <v>252927.24</v>
      </c>
      <c r="O549" s="92">
        <f t="shared" ca="1" si="88"/>
        <v>98.993048923679055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f>143405.57-2572.76</f>
        <v>140832.81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112094.43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IFERROR(__xludf.DUMMYFUNCTION("IMPORTRANGE(""https://docs.google.com/spreadsheets/d/1QqKyyYR6Q21VydFLVH3TRQUabQu_ym0Zz7PgGX0-kHA/edit?usp=sharing"",""แผน!HH67"")"),0)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IFERROR(__xludf.DUMMYFUNCTION("IMPORTRANGE(""https://docs.google.com/spreadsheets/d/1QqKyyYR6Q21VydFLVH3TRQUabQu_ym0Zz7PgGX0-kHA/edit?usp=sharing"",""แผน!HG67"")"),0)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IFERROR(__xludf.DUMMYFUNCTION("IMPORTRANGE(""https://docs.google.com/spreadsheets/d/1QqKyyYR6Q21VydFLVH3TRQUabQu_ym0Zz7PgGX0-kHA/edit?usp=sharing"",""แผน!HH67"")"),0)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IFERROR(__xludf.DUMMYFUNCTION("IMPORTRANGE(""https://docs.google.com/spreadsheets/d/1QqKyyYR6Q21VydFLVH3TRQUabQu_ym0Zz7PgGX0-kHA/edit?usp=sharing"",""แผน!HG67"")"),0)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IFERROR(__xludf.DUMMYFUNCTION("IMPORTRANGE(""https://docs.google.com/spreadsheets/d/1QqKyyYR6Q21VydFLVH3TRQUabQu_ym0Zz7PgGX0-kHA/edit?usp=sharing"",""แผน!HH67"")"),0)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IFERROR(__xludf.DUMMYFUNCTION("IMPORTRANGE(""https://docs.google.com/spreadsheets/d/1QqKyyYR6Q21VydFLVH3TRQUabQu_ym0Zz7PgGX0-kHA/edit?usp=sharing"",""แผน!HG67"")"),0)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3492.21</v>
      </c>
      <c r="J592" s="703">
        <f>J593</f>
        <v>3502</v>
      </c>
      <c r="K592" s="672">
        <f ca="1">IF(I592&gt;0,J592*100/I592,0)</f>
        <v>100.28033823853663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2">
        <f>J595+J603+J609</f>
        <v>3502</v>
      </c>
      <c r="K593" s="410">
        <f ca="1">IF(I593&gt;0,J593*100/I593,0)</f>
        <v>100.28033823853663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IFERROR(__xludf.DUMMYFUNCTION("IMPORTRANGE(""https://docs.google.com/spreadsheets/d/1QqKyyYR6Q21VydFLVH3TRQUabQu_ym0Zz7PgGX0-kHA/edit?usp=sharing"",""แผน!HI67"")"),145)</f>
        <v>145</v>
      </c>
      <c r="J594" s="192">
        <f>J596+J604+J610</f>
        <v>145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3139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129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708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33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2431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96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182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6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363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16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165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8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198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8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400</v>
      </c>
      <c r="J628" s="736">
        <f ca="1">J651</f>
        <v>200</v>
      </c>
      <c r="K628" s="737">
        <f ca="1">IF(I628&gt;0,J628*100/I628,0)</f>
        <v>50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619055</v>
      </c>
      <c r="M629" s="194">
        <f ca="1">M630+M631</f>
        <v>507148.68</v>
      </c>
      <c r="N629" s="194">
        <f>N630+N631</f>
        <v>507148.68</v>
      </c>
      <c r="O629" s="194">
        <f t="shared" ref="O629:O634" ca="1" si="90">IF(L629&gt;0,N629*100/L629,0)</f>
        <v>81.923040763744737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619055</v>
      </c>
      <c r="M631" s="92">
        <f t="shared" ca="1" si="92"/>
        <v>507148.68</v>
      </c>
      <c r="N631" s="92">
        <f t="shared" si="92"/>
        <v>507148.68</v>
      </c>
      <c r="O631" s="92">
        <f t="shared" ca="1" si="90"/>
        <v>81.923040763744737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619055</v>
      </c>
      <c r="M632" s="497">
        <f ca="1">M633+M634</f>
        <v>507148.68</v>
      </c>
      <c r="N632" s="497">
        <f>N633+N634</f>
        <v>507148.68</v>
      </c>
      <c r="O632" s="497">
        <f t="shared" ca="1" si="90"/>
        <v>81.923040763744737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IFERROR(__xludf.DUMMYFUNCTION("IMPORTRANGE(""https://docs.google.com/spreadsheets/d/1QqKyyYR6Q21VydFLVH3TRQUabQu_ym0Zz7PgGX0-kHA/edit?usp=sharing"",""แผน!HN67"")"),619055)</f>
        <v>619055</v>
      </c>
      <c r="M634" s="92">
        <f ca="1">L634-111906.32</f>
        <v>507148.68</v>
      </c>
      <c r="N634" s="92">
        <f>N635+N636+N637+N638</f>
        <v>507148.68</v>
      </c>
      <c r="O634" s="92">
        <f t="shared" ca="1" si="90"/>
        <v>81.923040763744737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129339.57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489715.11-111906</f>
        <v>377809.11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IFERROR(__xludf.DUMMYFUNCTION("IMPORTRANGE(""https://docs.google.com/spreadsheets/d/1QqKyyYR6Q21VydFLVH3TRQUabQu_ym0Zz7PgGX0-kHA/edit?usp=sharing"",""แผน!HR67"")"),7)</f>
        <v>7</v>
      </c>
      <c r="J643" s="214">
        <v>7</v>
      </c>
      <c r="K643" s="162">
        <f t="shared" ref="K643:K652" ca="1" si="93">IF(I643&gt;0,J643*100/I643,0)</f>
        <v>100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IFERROR(__xludf.DUMMYFUNCTION("IMPORTRANGE(""https://docs.google.com/spreadsheets/d/1QqKyyYR6Q21VydFLVH3TRQUabQu_ym0Zz7PgGX0-kHA/edit?usp=sharing"",""แผน!HR67"")"),7)</f>
        <v>7</v>
      </c>
      <c r="J644" s="214">
        <v>6</v>
      </c>
      <c r="K644" s="162">
        <f t="shared" ca="1" si="93"/>
        <v>85.714285714285708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IFERROR(__xludf.DUMMYFUNCTION("IMPORTRANGE(""https://docs.google.com/spreadsheets/d/1XWAQStnk-4SwqDmLtmXYiTMKHgktTP8We1SCoS47DrQ/edit?usp=sharing"",""จัดที่ดิน!AS67"")"),214)</f>
        <v>214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IFERROR(__xludf.DUMMYFUNCTION("IMPORTRANGE(""https://docs.google.com/spreadsheets/d/1XWAQStnk-4SwqDmLtmXYiTMKHgktTP8We1SCoS47DrQ/edit?usp=sharing"",""จัดที่ดิน!AT67"")"),109.52)</f>
        <v>109.52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IFERROR(__xludf.DUMMYFUNCTION("IMPORTRANGE(""https://docs.google.com/spreadsheets/d/1QqKyyYR6Q21VydFLVH3TRQUabQu_ym0Zz7PgGX0-kHA/edit?usp=sharing"",""แผน!HS67"")"),400)</f>
        <v>400</v>
      </c>
      <c r="J647" s="269">
        <f ca="1">IFERROR(__xludf.DUMMYFUNCTION("IMPORTRANGE(""https://docs.google.com/spreadsheets/d/1XWAQStnk-4SwqDmLtmXYiTMKHgktTP8We1SCoS47DrQ/edit?usp=sharing"",""จัดที่ดิน!AU67"")"),203)</f>
        <v>203</v>
      </c>
      <c r="K647" s="162">
        <f t="shared" ca="1" si="93"/>
        <v>50.75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IFERROR(__xludf.DUMMYFUNCTION("IMPORTRANGE(""https://docs.google.com/spreadsheets/d/1XWAQStnk-4SwqDmLtmXYiTMKHgktTP8We1SCoS47DrQ/edit?usp=sharing"",""จัดที่ดิน!AV67"")"),109.52)</f>
        <v>109.52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IFERROR(__xludf.DUMMYFUNCTION("IMPORTRANGE(""https://docs.google.com/spreadsheets/d/1QqKyyYR6Q21VydFLVH3TRQUabQu_ym0Zz7PgGX0-kHA/edit?usp=sharing"",""แผน!HS67"")"),400)</f>
        <v>400</v>
      </c>
      <c r="J649" s="269">
        <f ca="1">IFERROR(__xludf.DUMMYFUNCTION("IMPORTRANGE(""https://docs.google.com/spreadsheets/d/1XWAQStnk-4SwqDmLtmXYiTMKHgktTP8We1SCoS47DrQ/edit?usp=sharing"",""จัดที่ดิน!AW67"")"),201)</f>
        <v>201</v>
      </c>
      <c r="K649" s="162">
        <f t="shared" ca="1" si="93"/>
        <v>50.25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IFERROR(__xludf.DUMMYFUNCTION("IMPORTRANGE(""https://docs.google.com/spreadsheets/d/1XWAQStnk-4SwqDmLtmXYiTMKHgktTP8We1SCoS47DrQ/edit?usp=sharing"",""จัดที่ดิน!AX67"")"),108.8)</f>
        <v>108.8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IFERROR(__xludf.DUMMYFUNCTION("IMPORTRANGE(""https://docs.google.com/spreadsheets/d/1QqKyyYR6Q21VydFLVH3TRQUabQu_ym0Zz7PgGX0-kHA/edit?usp=sharing"",""แผน!HS67"")"),400)</f>
        <v>400</v>
      </c>
      <c r="J651" s="269">
        <f ca="1">IFERROR(__xludf.DUMMYFUNCTION("IMPORTRANGE(""https://docs.google.com/spreadsheets/d/1XWAQStnk-4SwqDmLtmXYiTMKHgktTP8We1SCoS47DrQ/edit?usp=sharing"",""จัดที่ดิน!AY67"")"),200)</f>
        <v>200</v>
      </c>
      <c r="K651" s="162">
        <f t="shared" ca="1" si="93"/>
        <v>50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IFERROR(__xludf.DUMMYFUNCTION("IMPORTRANGE(""https://docs.google.com/spreadsheets/d/1XWAQStnk-4SwqDmLtmXYiTMKHgktTP8We1SCoS47DrQ/edit?usp=sharing"",""จัดที่ดิน!AZ67"")"),108.6025)</f>
        <v>108.60250000000001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IFERROR(__xludf.DUMMYFUNCTION("IMPORTRANGE(""https://docs.google.com/spreadsheets/d/1QqKyyYR6Q21VydFLVH3TRQUabQu_ym0Zz7PgGX0-kHA/edit?usp=sharing"",""แผน!HV67"")"),0)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IFERROR(__xludf.DUMMYFUNCTION("IMPORTRANGE(""https://docs.google.com/spreadsheets/d/1QqKyyYR6Q21VydFLVH3TRQUabQu_ym0Zz7PgGX0-kHA/edit?usp=sharing"",""แผน!HZ67"")"),0)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IFERROR(__xludf.DUMMYFUNCTION("IMPORTRANGE(""https://docs.google.com/spreadsheets/d/1QqKyyYR6Q21VydFLVH3TRQUabQu_ym0Zz7PgGX0-kHA/edit?usp=sharing"",""แผน!HZ67"")"),0)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7500</v>
      </c>
      <c r="M685" s="194">
        <f ca="1">M686+M687</f>
        <v>7500</v>
      </c>
      <c r="N685" s="194">
        <f>N686+N687</f>
        <v>7500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7500</v>
      </c>
      <c r="M687" s="92">
        <f t="shared" ca="1" si="97"/>
        <v>7500</v>
      </c>
      <c r="N687" s="92">
        <f t="shared" si="97"/>
        <v>7500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7500</v>
      </c>
      <c r="M688" s="497">
        <f ca="1">M689+M690</f>
        <v>7500</v>
      </c>
      <c r="N688" s="497">
        <f>N689+N690</f>
        <v>7500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IFERROR(__xludf.DUMMYFUNCTION("IMPORTRANGE(""https://docs.google.com/spreadsheets/d/1QqKyyYR6Q21VydFLVH3TRQUabQu_ym0Zz7PgGX0-kHA/edit?usp=sharing"",""แผน!HW67"")"),7500)</f>
        <v>7500</v>
      </c>
      <c r="M690" s="92">
        <f ca="1">L690</f>
        <v>7500</v>
      </c>
      <c r="N690" s="92">
        <f>N691+N692+N693+N694</f>
        <v>7500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7500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69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69">
        <f ca="1">IFERROR(__xludf.DUMMYFUNCTION("IMPORTRANGE(""https://docs.google.com/spreadsheets/d/1XWAQStnk-4SwqDmLtmXYiTMKHgktTP8We1SCoS47DrQ/edit?usp=sharing"",""จัดที่ดิน!BD67"")"),2)</f>
        <v>2</v>
      </c>
      <c r="K700" s="497">
        <f ca="1">IF(I700&gt;0,J700*100/I700,0)</f>
        <v>100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12</v>
      </c>
      <c r="K701" s="194">
        <f ca="1">IF(I701&gt;0,J701*100/I701,0)</f>
        <v>100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1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1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4">
        <v>12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69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2</v>
      </c>
      <c r="K721" s="194">
        <f ca="1">IF(I721&gt;0,J721*100/I721,0)</f>
        <v>200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22</v>
      </c>
      <c r="K722" s="194">
        <f ca="1">IF(I722&gt;0,J722*100/I722,0)</f>
        <v>220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69">
        <f ca="1">IFERROR(__xludf.DUMMYFUNCTION("IMPORTRANGE(""https://docs.google.com/spreadsheets/d/1XWAQStnk-4SwqDmLtmXYiTMKHgktTP8We1SCoS47DrQ/edit?usp=sharing"",""จัดที่ดิน!BM67"")"),2)</f>
        <v>2</v>
      </c>
      <c r="K723" s="497">
        <f ca="1">IF(I723&gt;0,J723*100/I723,0)</f>
        <v>200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IFERROR(__xludf.DUMMYFUNCTION("IMPORTRANGE(""https://docs.google.com/spreadsheets/d/1XWAQStnk-4SwqDmLtmXYiTMKHgktTP8We1SCoS47DrQ/edit?usp=sharing"",""จัดที่ดิน!BN67"")"),2)</f>
        <v>2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69">
        <f ca="1">IFERROR(__xludf.DUMMYFUNCTION("IMPORTRANGE(""https://docs.google.com/spreadsheets/d/1XWAQStnk-4SwqDmLtmXYiTMKHgktTP8We1SCoS47DrQ/edit?usp=sharing"",""จัดที่ดิน!BO67"")"),22)</f>
        <v>22</v>
      </c>
      <c r="K725" s="497">
        <f ca="1">IF(I725&gt;0,J725*100/I725,0)</f>
        <v>220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69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69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19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2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2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19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IFERROR(__xludf.DUMMYFUNCTION("IMPORTRANGE(""https://docs.google.com/spreadsheets/d/1QqKyyYR6Q21VydFLVH3TRQUabQu_ym0Zz7PgGX0-kHA/edit?usp=sharing"",""แผน!JN67"")"),0)</f>
        <v>0</v>
      </c>
      <c r="J800" s="183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69">
        <f ca="1">IFERROR(__xludf.DUMMYFUNCTION("IMPORTRANGE(""https://docs.google.com/spreadsheets/d/19vJNZY_5yjcGF2XGBMNZRCAIB0Kwfpjp8YEOfu-bneM/edit?usp=sharing"",""งานกองทุน!F67"")"),1466514.57)</f>
        <v>1466514.57</v>
      </c>
      <c r="K821" s="497">
        <f t="shared" ref="K821:K828" ca="1" si="113">IF(I821&gt;0,J821*100/I821,0)</f>
        <v>92.653222726006874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IFERROR(__xludf.DUMMYFUNCTION("IMPORTRANGE(""https://docs.google.com/spreadsheets/d/19vJNZY_5yjcGF2XGBMNZRCAIB0Kwfpjp8YEOfu-bneM/edit?usp=sharing"",""งานกองทุน!C67"")"),106)</f>
        <v>106</v>
      </c>
      <c r="J822" s="269">
        <f ca="1">IFERROR(__xludf.DUMMYFUNCTION("IMPORTRANGE(""https://docs.google.com/spreadsheets/d/19vJNZY_5yjcGF2XGBMNZRCAIB0Kwfpjp8YEOfu-bneM/edit?usp=sharing"",""งานกองทุน!E67"")"),99)</f>
        <v>99</v>
      </c>
      <c r="K822" s="497">
        <f t="shared" ca="1" si="113"/>
        <v>93.396226415094333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69">
        <f ca="1">IFERROR(__xludf.DUMMYFUNCTION("IMPORTRANGE(""https://docs.google.com/spreadsheets/d/19vJNZY_5yjcGF2XGBMNZRCAIB0Kwfpjp8YEOfu-bneM/edit?usp=sharing"",""งานกองทุน!K67"")"),942916.07)</f>
        <v>942916.07</v>
      </c>
      <c r="K823" s="497">
        <f t="shared" ca="1" si="113"/>
        <v>25.778181481745737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IFERROR(__xludf.DUMMYFUNCTION("IMPORTRANGE(""https://docs.google.com/spreadsheets/d/19vJNZY_5yjcGF2XGBMNZRCAIB0Kwfpjp8YEOfu-bneM/edit?usp=sharing"",""งานกองทุน!H67"")"),184)</f>
        <v>184</v>
      </c>
      <c r="J824" s="269">
        <f ca="1">IFERROR(__xludf.DUMMYFUNCTION("IMPORTRANGE(""https://docs.google.com/spreadsheets/d/19vJNZY_5yjcGF2XGBMNZRCAIB0Kwfpjp8YEOfu-bneM/edit?usp=sharing"",""งานกองทุน!J67"")"),115)</f>
        <v>115</v>
      </c>
      <c r="K824" s="497">
        <f t="shared" ca="1" si="113"/>
        <v>62.5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69">
        <f ca="1">IFERROR(__xludf.DUMMYFUNCTION("IMPORTRANGE(""https://docs.google.com/spreadsheets/d/19vJNZY_5yjcGF2XGBMNZRCAIB0Kwfpjp8YEOfu-bneM/edit?usp=sharing"",""งานกองทุน!P67"")"),70344.9)</f>
        <v>70344.899999999994</v>
      </c>
      <c r="K825" s="497">
        <f t="shared" ca="1" si="113"/>
        <v>55.660457827203167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IFERROR(__xludf.DUMMYFUNCTION("IMPORTRANGE(""https://docs.google.com/spreadsheets/d/19vJNZY_5yjcGF2XGBMNZRCAIB0Kwfpjp8YEOfu-bneM/edit?usp=sharing"",""งานกองทุน!M67"")"),12)</f>
        <v>12</v>
      </c>
      <c r="J826" s="269">
        <f ca="1">IFERROR(__xludf.DUMMYFUNCTION("IMPORTRANGE(""https://docs.google.com/spreadsheets/d/19vJNZY_5yjcGF2XGBMNZRCAIB0Kwfpjp8YEOfu-bneM/edit?usp=sharing"",""งานกองทุน!O67"")"),12)</f>
        <v>12</v>
      </c>
      <c r="K826" s="497">
        <f t="shared" ca="1" si="113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IFERROR(__xludf.DUMMYFUNCTION("IMPORTRANGE(""https://docs.google.com/spreadsheets/d/19vJNZY_5yjcGF2XGBMNZRCAIB0Kwfpjp8YEOfu-bneM/edit?usp=sharing"",""งานกองทุน!S67"")"),2580000)</f>
        <v>2580000</v>
      </c>
      <c r="J827" s="269">
        <f ca="1">IFERROR(__xludf.DUMMYFUNCTION("IMPORTRANGE(""https://docs.google.com/spreadsheets/d/19vJNZY_5yjcGF2XGBMNZRCAIB0Kwfpjp8YEOfu-bneM/edit?usp=sharing"",""งานกองทุน!U67"")"),2580000)</f>
        <v>2580000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IFERROR(__xludf.DUMMYFUNCTION("IMPORTRANGE(""https://docs.google.com/spreadsheets/d/19vJNZY_5yjcGF2XGBMNZRCAIB0Kwfpjp8YEOfu-bneM/edit?usp=sharing"",""งานกองทุน!T67"")"),79)</f>
        <v>79</v>
      </c>
      <c r="K828" s="502">
        <f t="shared" ca="1" si="113"/>
        <v>76.699029126213588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5794-C32C-47D9-8A41-E81893AD75D4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357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7740200</v>
      </c>
      <c r="M8" s="21">
        <f ca="1">M9+M10</f>
        <v>7610646.7300000004</v>
      </c>
      <c r="N8" s="21">
        <f ca="1">N9+N10</f>
        <v>7633026.7300000004</v>
      </c>
      <c r="O8" s="21">
        <f t="shared" ref="O8:O16" ca="1" si="0">IF(L8&gt;0,N8*100/L8,0)</f>
        <v>98.615368207539859</v>
      </c>
      <c r="P8" s="21">
        <f t="shared" ref="P8:P16" ca="1" si="1">IF(M8&gt;0,N8*100/M8,0)</f>
        <v>100.29406173737878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7740200</v>
      </c>
      <c r="M10" s="29">
        <f t="shared" ca="1" si="2"/>
        <v>7610646.7300000004</v>
      </c>
      <c r="N10" s="29">
        <f t="shared" ca="1" si="2"/>
        <v>7633026.7300000004</v>
      </c>
      <c r="O10" s="29">
        <f t="shared" ca="1" si="0"/>
        <v>98.615368207539859</v>
      </c>
      <c r="P10" s="29">
        <f t="shared" ca="1" si="1"/>
        <v>100.29406173737878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7687400</v>
      </c>
      <c r="M11" s="497">
        <f ca="1">M12+M13</f>
        <v>7557846.7300000004</v>
      </c>
      <c r="N11" s="497">
        <f ca="1">N12+N13</f>
        <v>7557846.7300000004</v>
      </c>
      <c r="O11" s="497">
        <f t="shared" ca="1" si="0"/>
        <v>98.314732289200506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7687400</v>
      </c>
      <c r="M13" s="92">
        <f t="shared" ca="1" si="3"/>
        <v>7557846.7300000004</v>
      </c>
      <c r="N13" s="92">
        <f t="shared" ca="1" si="3"/>
        <v>7557846.7300000004</v>
      </c>
      <c r="O13" s="92">
        <f t="shared" ca="1" si="0"/>
        <v>98.314732289200506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52800</v>
      </c>
      <c r="M14" s="497">
        <f ca="1">M15+M16</f>
        <v>52800</v>
      </c>
      <c r="N14" s="497">
        <f ca="1">N15+N16</f>
        <v>75180</v>
      </c>
      <c r="O14" s="497">
        <f t="shared" ca="1" si="0"/>
        <v>142.38636363636363</v>
      </c>
      <c r="P14" s="497">
        <f t="shared" ca="1" si="1"/>
        <v>142.38636363636363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52800</v>
      </c>
      <c r="M16" s="51">
        <f t="shared" ca="1" si="4"/>
        <v>52800</v>
      </c>
      <c r="N16" s="51">
        <f t="shared" ca="1" si="4"/>
        <v>75180</v>
      </c>
      <c r="O16" s="51">
        <f t="shared" ca="1" si="0"/>
        <v>142.38636363636363</v>
      </c>
      <c r="P16" s="51">
        <f t="shared" ca="1" si="1"/>
        <v>142.38636363636363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5225200</v>
      </c>
      <c r="M18" s="21">
        <f ca="1">M19+M20</f>
        <v>5487060.96</v>
      </c>
      <c r="N18" s="21">
        <f ca="1">N19+N20</f>
        <v>5509440.96</v>
      </c>
      <c r="O18" s="21">
        <f t="shared" ref="O18:O26" ca="1" si="5">IF(L18&gt;0,N18*100/L18,0)</f>
        <v>105.43981015080763</v>
      </c>
      <c r="P18" s="21">
        <f t="shared" ref="P18:P26" ca="1" si="6">IF(M18&gt;0,N18*100/M18,0)</f>
        <v>100.40786862335132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5225200</v>
      </c>
      <c r="M20" s="29">
        <f t="shared" ca="1" si="7"/>
        <v>5487060.96</v>
      </c>
      <c r="N20" s="29">
        <f t="shared" ca="1" si="7"/>
        <v>5509440.96</v>
      </c>
      <c r="O20" s="29">
        <f t="shared" ca="1" si="5"/>
        <v>105.43981015080763</v>
      </c>
      <c r="P20" s="29">
        <f t="shared" ca="1" si="6"/>
        <v>100.40786862335132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5172400</v>
      </c>
      <c r="M21" s="497">
        <f ca="1">M22+M23</f>
        <v>5434260.96</v>
      </c>
      <c r="N21" s="497">
        <f ca="1">N22+N23</f>
        <v>5434260.96</v>
      </c>
      <c r="O21" s="497">
        <f t="shared" ca="1" si="5"/>
        <v>105.06265872708994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5172400</v>
      </c>
      <c r="M23" s="92">
        <f t="shared" ca="1" si="8"/>
        <v>5434260.96</v>
      </c>
      <c r="N23" s="92">
        <f t="shared" ca="1" si="8"/>
        <v>5434260.96</v>
      </c>
      <c r="O23" s="92">
        <f t="shared" ca="1" si="5"/>
        <v>105.06265872708994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52800</v>
      </c>
      <c r="M24" s="497">
        <f ca="1">M25+M26</f>
        <v>52800</v>
      </c>
      <c r="N24" s="497">
        <f ca="1">N25+N26</f>
        <v>75180</v>
      </c>
      <c r="O24" s="497">
        <f t="shared" ca="1" si="5"/>
        <v>142.38636363636363</v>
      </c>
      <c r="P24" s="497">
        <f t="shared" ca="1" si="6"/>
        <v>142.38636363636363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52800</v>
      </c>
      <c r="M26" s="51">
        <f t="shared" ca="1" si="9"/>
        <v>52800</v>
      </c>
      <c r="N26" s="51">
        <f t="shared" ca="1" si="9"/>
        <v>75180</v>
      </c>
      <c r="O26" s="51">
        <f t="shared" ca="1" si="5"/>
        <v>142.38636363636363</v>
      </c>
      <c r="P26" s="51">
        <f t="shared" ca="1" si="6"/>
        <v>142.38636363636363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2515000</v>
      </c>
      <c r="M28" s="21">
        <f ca="1">M29+M30</f>
        <v>2123585.77</v>
      </c>
      <c r="N28" s="21">
        <f>N29+N30</f>
        <v>2123585.77</v>
      </c>
      <c r="O28" s="21">
        <f t="shared" ref="O28:O37" ca="1" si="10">IF(L28&gt;0,N28*100/L28,0)</f>
        <v>84.436809940357847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2515000</v>
      </c>
      <c r="M30" s="29">
        <f t="shared" ca="1" si="12"/>
        <v>2123585.77</v>
      </c>
      <c r="N30" s="29">
        <f t="shared" si="12"/>
        <v>2123585.77</v>
      </c>
      <c r="O30" s="29">
        <f t="shared" ca="1" si="10"/>
        <v>84.436809940357847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2515000</v>
      </c>
      <c r="M31" s="497">
        <f ca="1">M32+M33</f>
        <v>2123585.77</v>
      </c>
      <c r="N31" s="497">
        <f>N32+N33</f>
        <v>2123585.77</v>
      </c>
      <c r="O31" s="497">
        <f t="shared" ca="1" si="10"/>
        <v>84.436809940357847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2515000</v>
      </c>
      <c r="M33" s="92">
        <f t="shared" ca="1" si="13"/>
        <v>2123585.77</v>
      </c>
      <c r="N33" s="92">
        <f t="shared" si="13"/>
        <v>2123585.77</v>
      </c>
      <c r="O33" s="92">
        <f t="shared" ca="1" si="10"/>
        <v>84.436809940357847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5225200</v>
      </c>
      <c r="M37" s="58">
        <f ca="1">M41+M53+M66+M88+M119+M132+M149+M165+M181+M261+M277+M298+M315+M328+M345+M389+M402</f>
        <v>5487060.96</v>
      </c>
      <c r="N37" s="58">
        <f ca="1">N41+N53+N66+N88+N119+N132+N149+N165+N181+N261+N277+N298+N315+N328+N345+N389+N402</f>
        <v>5509440.96</v>
      </c>
      <c r="O37" s="58">
        <f t="shared" ca="1" si="10"/>
        <v>105.43981015080763</v>
      </c>
      <c r="P37" s="58">
        <f t="shared" ca="1" si="11"/>
        <v>100.40786862335132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657500</v>
      </c>
      <c r="M41" s="84">
        <f ca="1">M42+M43</f>
        <v>703928</v>
      </c>
      <c r="N41" s="84">
        <f ca="1">N42+N43</f>
        <v>703928</v>
      </c>
      <c r="O41" s="84">
        <f t="shared" ref="O41:O49" ca="1" si="15">IF(L41&gt;0,N41*100/L41,0)</f>
        <v>107.06129277566539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657500</v>
      </c>
      <c r="M43" s="91">
        <f t="shared" ca="1" si="17"/>
        <v>703928</v>
      </c>
      <c r="N43" s="91">
        <f t="shared" ca="1" si="17"/>
        <v>703928</v>
      </c>
      <c r="O43" s="91">
        <f t="shared" ca="1" si="15"/>
        <v>107.06129277566539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657500</v>
      </c>
      <c r="M44" s="497">
        <f ca="1">M45+M46</f>
        <v>703928</v>
      </c>
      <c r="N44" s="497">
        <f ca="1">N45+N46</f>
        <v>703928</v>
      </c>
      <c r="O44" s="497">
        <f t="shared" ca="1" si="15"/>
        <v>107.06129277566539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IFERROR(__xludf.DUMMYFUNCTION("IMPORTRANGE(""https://docs.google.com/spreadsheets/d/1MeEWN-I1oV_STSDYn1IFDPWt_1FKiwhDph83XaGc0o0/edit?usp=sharing"",""งบพรบ!M68"")"),657500)</f>
        <v>657500</v>
      </c>
      <c r="M46" s="92">
        <f ca="1">IFERROR(__xludf.DUMMYFUNCTION("IMPORTRANGE(""https://docs.google.com/spreadsheets/d/1MeEWN-I1oV_STSDYn1IFDPWt_1FKiwhDph83XaGc0o0/edit?usp=sharing"",""งบพรบ!R68"")"),703928)</f>
        <v>703928</v>
      </c>
      <c r="N46" s="92">
        <f ca="1">IFERROR(__xludf.DUMMYFUNCTION("IMPORTRANGE(""https://docs.google.com/spreadsheets/d/1MeEWN-I1oV_STSDYn1IFDPWt_1FKiwhDph83XaGc0o0/edit?usp=sharing"",""งบพรบ!T68"")"),703928)</f>
        <v>703928</v>
      </c>
      <c r="O46" s="92">
        <f t="shared" ca="1" si="15"/>
        <v>107.06129277566539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IFERROR(__xludf.DUMMYFUNCTION("IMPORTRANGE(""https://docs.google.com/spreadsheets/d/1MeEWN-I1oV_STSDYn1IFDPWt_1FKiwhDph83XaGc0o0/edit?usp=sharing"",""งบพรบ!P68"")"),0)</f>
        <v>0</v>
      </c>
      <c r="M49" s="51">
        <f ca="1">IFERROR(__xludf.DUMMYFUNCTION("IMPORTRANGE(""https://docs.google.com/spreadsheets/d/1MeEWN-I1oV_STSDYn1IFDPWt_1FKiwhDph83XaGc0o0/edit?usp=sharing"",""งบพรบ!S68"")"),0)</f>
        <v>0</v>
      </c>
      <c r="N49" s="51">
        <f ca="1">IFERROR(__xludf.DUMMYFUNCTION("IMPORTRANGE(""https://docs.google.com/spreadsheets/d/1MeEWN-I1oV_STSDYn1IFDPWt_1FKiwhDph83XaGc0o0/edit?usp=sharing"",""งบพรบ!U68"")"),0)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805700</v>
      </c>
      <c r="M53" s="115">
        <f ca="1">M54+M55</f>
        <v>896412.96</v>
      </c>
      <c r="N53" s="115">
        <f ca="1">N54+N55</f>
        <v>918792.96</v>
      </c>
      <c r="O53" s="115">
        <f t="shared" ref="O53:O61" ca="1" si="18">IF(L53&gt;0,N53*100/L53,0)</f>
        <v>114.03660915973687</v>
      </c>
      <c r="P53" s="115">
        <f t="shared" ref="P53:P61" ca="1" si="19">IF(M53&gt;0,N53*100/M53,0)</f>
        <v>102.49661718411568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805700</v>
      </c>
      <c r="M55" s="122">
        <f t="shared" ca="1" si="20"/>
        <v>896412.96</v>
      </c>
      <c r="N55" s="122">
        <f t="shared" ca="1" si="20"/>
        <v>918792.96</v>
      </c>
      <c r="O55" s="122">
        <f t="shared" ca="1" si="18"/>
        <v>114.03660915973687</v>
      </c>
      <c r="P55" s="122">
        <f t="shared" ca="1" si="19"/>
        <v>102.49661718411568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805700</v>
      </c>
      <c r="M56" s="497">
        <f ca="1">M57+M58</f>
        <v>896412.96</v>
      </c>
      <c r="N56" s="497">
        <f ca="1">N57+N58</f>
        <v>896412.96</v>
      </c>
      <c r="O56" s="497">
        <f t="shared" ca="1" si="18"/>
        <v>111.25890033511233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IFERROR(__xludf.DUMMYFUNCTION("IMPORTRANGE(""https://docs.google.com/spreadsheets/d/1MeEWN-I1oV_STSDYn1IFDPWt_1FKiwhDph83XaGc0o0/edit?usp=sharing"",""งบพรบ!W68"")"),805700)</f>
        <v>805700</v>
      </c>
      <c r="M58" s="92">
        <f ca="1">IFERROR(__xludf.DUMMYFUNCTION("IMPORTRANGE(""https://docs.google.com/spreadsheets/d/1MeEWN-I1oV_STSDYn1IFDPWt_1FKiwhDph83XaGc0o0/edit?usp=sharing"",""งบพรบ!AB68"")"),896412.96)</f>
        <v>896412.96</v>
      </c>
      <c r="N58" s="92">
        <f ca="1">IFERROR(__xludf.DUMMYFUNCTION("IMPORTRANGE(""https://docs.google.com/spreadsheets/d/1MeEWN-I1oV_STSDYn1IFDPWt_1FKiwhDph83XaGc0o0/edit?usp=sharing"",""งบพรบ!AD68"")"),896412.96)</f>
        <v>896412.96</v>
      </c>
      <c r="O58" s="92">
        <f t="shared" ca="1" si="18"/>
        <v>111.25890033511233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22380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IFERROR(__xludf.DUMMYFUNCTION("IMPORTRANGE(""https://docs.google.com/spreadsheets/d/1MeEWN-I1oV_STSDYn1IFDPWt_1FKiwhDph83XaGc0o0/edit?usp=sharing"",""งบพรบ!Z68"")"),0)</f>
        <v>0</v>
      </c>
      <c r="M61" s="51">
        <f ca="1">IFERROR(__xludf.DUMMYFUNCTION("IMPORTRANGE(""https://docs.google.com/spreadsheets/d/1MeEWN-I1oV_STSDYn1IFDPWt_1FKiwhDph83XaGc0o0/edit?usp=sharing"",""งบพรบ!AC68"")"),0)</f>
        <v>0</v>
      </c>
      <c r="N61" s="51">
        <f ca="1">IFERROR(__xludf.DUMMYFUNCTION("IMPORTRANGE(""https://docs.google.com/spreadsheets/d/1MeEWN-I1oV_STSDYn1IFDPWt_1FKiwhDph83XaGc0o0/edit?usp=sharing"",""งบพรบ!AE68"")"),22380)</f>
        <v>22380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180</v>
      </c>
      <c r="J65" s="143">
        <f>J77</f>
        <v>180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1972000</v>
      </c>
      <c r="M66" s="154">
        <f ca="1">M67+M68</f>
        <v>1982340</v>
      </c>
      <c r="N66" s="154">
        <f ca="1">N67+N68</f>
        <v>1982340</v>
      </c>
      <c r="O66" s="154">
        <f t="shared" ref="O66:O74" ca="1" si="21">IF(L66&gt;0,N66*100/L66,0)</f>
        <v>100.52434077079107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1972000</v>
      </c>
      <c r="M68" s="92">
        <f t="shared" ca="1" si="23"/>
        <v>1982340</v>
      </c>
      <c r="N68" s="92">
        <f t="shared" ca="1" si="23"/>
        <v>1982340</v>
      </c>
      <c r="O68" s="92">
        <f t="shared" ca="1" si="21"/>
        <v>100.52434077079107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1972000</v>
      </c>
      <c r="M69" s="497">
        <f ca="1">M70+M71</f>
        <v>1982340</v>
      </c>
      <c r="N69" s="497">
        <f ca="1">N70+N71</f>
        <v>1982340</v>
      </c>
      <c r="O69" s="497">
        <f t="shared" ca="1" si="21"/>
        <v>100.52434077079107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IFERROR(__xludf.DUMMYFUNCTION("IMPORTRANGE(""https://docs.google.com/spreadsheets/d/1MeEWN-I1oV_STSDYn1IFDPWt_1FKiwhDph83XaGc0o0/edit?usp=sharing"",""งบพรบ!AG68"")"),1972000)</f>
        <v>1972000</v>
      </c>
      <c r="M71" s="92">
        <f ca="1">IFERROR(__xludf.DUMMYFUNCTION("IMPORTRANGE(""https://docs.google.com/spreadsheets/d/1MeEWN-I1oV_STSDYn1IFDPWt_1FKiwhDph83XaGc0o0/edit?usp=sharing"",""งบพรบ!AL68"")"),1982340)</f>
        <v>1982340</v>
      </c>
      <c r="N71" s="92">
        <f ca="1">IFERROR(__xludf.DUMMYFUNCTION("IMPORTRANGE(""https://docs.google.com/spreadsheets/d/1MeEWN-I1oV_STSDYn1IFDPWt_1FKiwhDph83XaGc0o0/edit?usp=sharing"",""งบพรบ!AN68"")"),1982340)</f>
        <v>1982340</v>
      </c>
      <c r="O71" s="92">
        <f t="shared" ca="1" si="21"/>
        <v>100.52434077079107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IFERROR(__xludf.DUMMYFUNCTION("IMPORTRANGE(""https://docs.google.com/spreadsheets/d/1MeEWN-I1oV_STSDYn1IFDPWt_1FKiwhDph83XaGc0o0/edit?usp=sharing"",""งบพรบ!AJ68"")"),0)</f>
        <v>0</v>
      </c>
      <c r="M74" s="92">
        <f ca="1">IFERROR(__xludf.DUMMYFUNCTION("IMPORTRANGE(""https://docs.google.com/spreadsheets/d/1MeEWN-I1oV_STSDYn1IFDPWt_1FKiwhDph83XaGc0o0/edit?usp=sharing"",""งบพรบ!AM68"")"),0)</f>
        <v>0</v>
      </c>
      <c r="N74" s="92">
        <f ca="1">IFERROR(__xludf.DUMMYFUNCTION("IMPORTRANGE(""https://docs.google.com/spreadsheets/d/1MeEWN-I1oV_STSDYn1IFDPWt_1FKiwhDph83XaGc0o0/edit?usp=sharing"",""งบพรบ!AO68"")"),0)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180</v>
      </c>
      <c r="J77" s="269">
        <f>J79+J81+J83</f>
        <v>180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IFERROR(__xludf.DUMMYFUNCTION("IMPORTRANGE(""https://docs.google.com/spreadsheets/d/1QqKyyYR6Q21VydFLVH3TRQUabQu_ym0Zz7PgGX0-kHA/edit?usp=sharing"",""แผน!H68"")"),0)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IFERROR(__xludf.DUMMYFUNCTION("IMPORTRANGE(""https://docs.google.com/spreadsheets/d/1QqKyyYR6Q21VydFLVH3TRQUabQu_ym0Zz7PgGX0-kHA/edit?usp=sharing"",""แผน!I68"")"),0)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IFERROR(__xludf.DUMMYFUNCTION("IMPORTRANGE(""https://docs.google.com/spreadsheets/d/1QqKyyYR6Q21VydFLVH3TRQUabQu_ym0Zz7PgGX0-kHA/edit?usp=sharing"",""แผน!F68"")"),1)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IFERROR(__xludf.DUMMYFUNCTION("IMPORTRANGE(""https://docs.google.com/spreadsheets/d/1QqKyyYR6Q21VydFLVH3TRQUabQu_ym0Zz7PgGX0-kHA/edit?usp=sharing"",""แผน!G68"")"),80)</f>
        <v>80</v>
      </c>
      <c r="J81" s="214">
        <v>80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IFERROR(__xludf.DUMMYFUNCTION("IMPORTRANGE(""https://docs.google.com/spreadsheets/d/1QqKyyYR6Q21VydFLVH3TRQUabQu_ym0Zz7PgGX0-kHA/edit?usp=sharing"",""แผน!D68"")"),1)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IFERROR(__xludf.DUMMYFUNCTION("IMPORTRANGE(""https://docs.google.com/spreadsheets/d/1QqKyyYR6Q21VydFLVH3TRQUabQu_ym0Zz7PgGX0-kHA/edit?usp=sharing"",""แผน!E68"")"),100)</f>
        <v>100</v>
      </c>
      <c r="J83" s="214">
        <v>100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IFERROR(__xludf.DUMMYFUNCTION("IMPORTRANGE(""https://docs.google.com/spreadsheets/d/1QqKyyYR6Q21VydFLVH3TRQUabQu_ym0Zz7PgGX0-kHA/edit?usp=sharing"",""แผน!J68"")"),2)</f>
        <v>2</v>
      </c>
      <c r="J84" s="214">
        <v>2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384460</v>
      </c>
      <c r="M88" s="154">
        <f ca="1">M89+M90</f>
        <v>384460</v>
      </c>
      <c r="N88" s="154">
        <f ca="1">N89+N90</f>
        <v>384460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384460</v>
      </c>
      <c r="M90" s="92">
        <f t="shared" ca="1" si="27"/>
        <v>384460</v>
      </c>
      <c r="N90" s="92">
        <f t="shared" ca="1" si="27"/>
        <v>384460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384460</v>
      </c>
      <c r="M91" s="497">
        <f ca="1">M92+M93</f>
        <v>384460</v>
      </c>
      <c r="N91" s="497">
        <f ca="1">N92+N93</f>
        <v>384460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IFERROR(__xludf.DUMMYFUNCTION("IMPORTRANGE(""https://docs.google.com/spreadsheets/d/1MeEWN-I1oV_STSDYn1IFDPWt_1FKiwhDph83XaGc0o0/edit?usp=sharing"",""งบพรบ!AQ68"")"),384460)</f>
        <v>384460</v>
      </c>
      <c r="M93" s="92">
        <f ca="1">IFERROR(__xludf.DUMMYFUNCTION("IMPORTRANGE(""https://docs.google.com/spreadsheets/d/1MeEWN-I1oV_STSDYn1IFDPWt_1FKiwhDph83XaGc0o0/edit?usp=sharing"",""งบพรบ!AV68"")"),384460)</f>
        <v>384460</v>
      </c>
      <c r="N93" s="92">
        <f ca="1">IFERROR(__xludf.DUMMYFUNCTION("IMPORTRANGE(""https://docs.google.com/spreadsheets/d/1MeEWN-I1oV_STSDYn1IFDPWt_1FKiwhDph83XaGc0o0/edit?usp=sharing"",""งบพรบ!AX68"")"),384460)</f>
        <v>384460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IFERROR(__xludf.DUMMYFUNCTION("IMPORTRANGE(""https://docs.google.com/spreadsheets/d/1MeEWN-I1oV_STSDYn1IFDPWt_1FKiwhDph83XaGc0o0/edit?usp=sharing"",""งบพรบ!AT68"")"),0)</f>
        <v>0</v>
      </c>
      <c r="M96" s="92">
        <f ca="1">IFERROR(__xludf.DUMMYFUNCTION("IMPORTRANGE(""https://docs.google.com/spreadsheets/d/1MeEWN-I1oV_STSDYn1IFDPWt_1FKiwhDph83XaGc0o0/edit?usp=sharing"",""งบพรบ!AW68"")"),0)</f>
        <v>0</v>
      </c>
      <c r="N96" s="92">
        <f ca="1">IFERROR(__xludf.DUMMYFUNCTION("IMPORTRANGE(""https://docs.google.com/spreadsheets/d/1MeEWN-I1oV_STSDYn1IFDPWt_1FKiwhDph83XaGc0o0/edit?usp=sharing"",""งบพรบ!AY68"")"),0)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IFERROR(__xludf.DUMMYFUNCTION("IMPORTRANGE(""https://docs.google.com/spreadsheets/d/1QqKyyYR6Q21VydFLVH3TRQUabQu_ym0Zz7PgGX0-kHA/edit?usp=sharing"",""แผน!K68"")"),45)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IFERROR(__xludf.DUMMYFUNCTION("IMPORTRANGE(""https://docs.google.com/spreadsheets/d/1QqKyyYR6Q21VydFLVH3TRQUabQu_ym0Zz7PgGX0-kHA/edit?usp=sharing"",""แผน!L68"")"),15)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IFERROR(__xludf.DUMMYFUNCTION("IMPORTRANGE(""https://docs.google.com/spreadsheets/d/1QqKyyYR6Q21VydFLVH3TRQUabQu_ym0Zz7PgGX0-kHA/edit?usp=sharing"",""แผน!M68"")"),2)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IFERROR(__xludf.DUMMYFUNCTION("IMPORTRANGE(""https://docs.google.com/spreadsheets/d/1QqKyyYR6Q21VydFLVH3TRQUabQu_ym0Zz7PgGX0-kHA/edit?usp=sharing"",""แผน!N68"")"),45)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IFERROR(__xludf.DUMMYFUNCTION("IMPORTRANGE(""https://docs.google.com/spreadsheets/d/1QqKyyYR6Q21VydFLVH3TRQUabQu_ym0Zz7PgGX0-kHA/edit?usp=sharing"",""แผน!O68"")"),15)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IFERROR(__xludf.DUMMYFUNCTION("IMPORTRANGE(""https://docs.google.com/spreadsheets/d/1QqKyyYR6Q21VydFLVH3TRQUabQu_ym0Zz7PgGX0-kHA/edit?usp=sharing"",""แผน!O68"")"),15)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IFERROR(__xludf.DUMMYFUNCTION("IMPORTRANGE(""https://docs.google.com/spreadsheets/d/1QqKyyYR6Q21VydFLVH3TRQUabQu_ym0Zz7PgGX0-kHA/edit?usp=sharing"",""แผน!P68"")"),1)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IFERROR(__xludf.DUMMYFUNCTION("IMPORTRANGE(""https://docs.google.com/spreadsheets/d/1QqKyyYR6Q21VydFLVH3TRQUabQu_ym0Zz7PgGX0-kHA/edit?usp=sharing"",""แผน!P68"")"),1)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IFERROR(__xludf.DUMMYFUNCTION("IMPORTRANGE(""https://docs.google.com/spreadsheets/d/1QqKyyYR6Q21VydFLVH3TRQUabQu_ym0Zz7PgGX0-kHA/edit?usp=sharing"",""แผน!Q68"")"),1)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IFERROR(__xludf.DUMMYFUNCTION("IMPORTRANGE(""https://docs.google.com/spreadsheets/d/1QqKyyYR6Q21VydFLVH3TRQUabQu_ym0Zz7PgGX0-kHA/edit?usp=sharing"",""แผน!Q68"")"),1)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IFERROR(__xludf.DUMMYFUNCTION("IMPORTRANGE(""https://docs.google.com/spreadsheets/d/1QqKyyYR6Q21VydFLVH3TRQUabQu_ym0Zz7PgGX0-kHA/edit?usp=sharing"",""แผน!R68"")"),15)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IFERROR(__xludf.DUMMYFUNCTION("IMPORTRANGE(""https://docs.google.com/spreadsheets/d/1QqKyyYR6Q21VydFLVH3TRQUabQu_ym0Zz7PgGX0-kHA/edit?usp=sharing"",""แผน!R68"")"),15)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IFERROR(__xludf.DUMMYFUNCTION("IMPORTRANGE(""https://docs.google.com/spreadsheets/d/1QqKyyYR6Q21VydFLVH3TRQUabQu_ym0Zz7PgGX0-kHA/edit?usp=sharing"",""แผน!S68"")"),1)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IFERROR(__xludf.DUMMYFUNCTION("IMPORTRANGE(""https://docs.google.com/spreadsheets/d/1QqKyyYR6Q21VydFLVH3TRQUabQu_ym0Zz7PgGX0-kHA/edit?usp=sharing"",""แผน!T68"")"),1)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IFERROR(__xludf.DUMMYFUNCTION("IMPORTRANGE(""https://docs.google.com/spreadsheets/d/1MeEWN-I1oV_STSDYn1IFDPWt_1FKiwhDph83XaGc0o0/edit?usp=sharing"",""งบพรบ!BA68"")"),0)</f>
        <v>0</v>
      </c>
      <c r="M124" s="92">
        <f ca="1">IFERROR(__xludf.DUMMYFUNCTION("IMPORTRANGE(""https://docs.google.com/spreadsheets/d/1MeEWN-I1oV_STSDYn1IFDPWt_1FKiwhDph83XaGc0o0/edit?usp=sharing"",""งบพรบ!BF68"")"),0)</f>
        <v>0</v>
      </c>
      <c r="N124" s="92">
        <f ca="1">IFERROR(__xludf.DUMMYFUNCTION("IMPORTRANGE(""https://docs.google.com/spreadsheets/d/1MeEWN-I1oV_STSDYn1IFDPWt_1FKiwhDph83XaGc0o0/edit?usp=sharing"",""งบพรบ!BH68"")"),0)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IFERROR(__xludf.DUMMYFUNCTION("IMPORTRANGE(""https://docs.google.com/spreadsheets/d/1MeEWN-I1oV_STSDYn1IFDPWt_1FKiwhDph83XaGc0o0/edit?usp=sharing"",""งบพรบ!BD68"")"),0)</f>
        <v>0</v>
      </c>
      <c r="M127" s="92">
        <f ca="1">IFERROR(__xludf.DUMMYFUNCTION("IMPORTRANGE(""https://docs.google.com/spreadsheets/d/1MeEWN-I1oV_STSDYn1IFDPWt_1FKiwhDph83XaGc0o0/edit?usp=sharing"",""งบพรบ!BG68"")"),0)</f>
        <v>0</v>
      </c>
      <c r="N127" s="92">
        <f ca="1">IFERROR(__xludf.DUMMYFUNCTION("IMPORTRANGE(""https://docs.google.com/spreadsheets/d/1MeEWN-I1oV_STSDYn1IFDPWt_1FKiwhDph83XaGc0o0/edit?usp=sharing"",""งบพรบ!BI68"")"),0)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IFERROR(__xludf.DUMMYFUNCTION("IMPORTRANGE(""https://docs.google.com/spreadsheets/d/1MeEWN-I1oV_STSDYn1IFDPWt_1FKiwhDph83XaGc0o0/edit?usp=sharing"",""งบพรบ!BK68"")"),0)</f>
        <v>0</v>
      </c>
      <c r="M137" s="92">
        <f ca="1">IFERROR(__xludf.DUMMYFUNCTION("IMPORTRANGE(""https://docs.google.com/spreadsheets/d/1MeEWN-I1oV_STSDYn1IFDPWt_1FKiwhDph83XaGc0o0/edit?usp=sharing"",""งบพรบ!BP68"")"),0)</f>
        <v>0</v>
      </c>
      <c r="N137" s="92">
        <f ca="1">IFERROR(__xludf.DUMMYFUNCTION("IMPORTRANGE(""https://docs.google.com/spreadsheets/d/1MeEWN-I1oV_STSDYn1IFDPWt_1FKiwhDph83XaGc0o0/edit?usp=sharing"",""งบพรบ!BR68"")"),0)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IFERROR(__xludf.DUMMYFUNCTION("IMPORTRANGE(""https://docs.google.com/spreadsheets/d/1MeEWN-I1oV_STSDYn1IFDPWt_1FKiwhDph83XaGc0o0/edit?usp=sharing"",""งบพรบ!BN68"")"),0)</f>
        <v>0</v>
      </c>
      <c r="M140" s="92">
        <f ca="1">IFERROR(__xludf.DUMMYFUNCTION("IMPORTRANGE(""https://docs.google.com/spreadsheets/d/1MeEWN-I1oV_STSDYn1IFDPWt_1FKiwhDph83XaGc0o0/edit?usp=sharing"",""งบพรบ!BQ68"")"),0)</f>
        <v>0</v>
      </c>
      <c r="N140" s="92">
        <f ca="1">IFERROR(__xludf.DUMMYFUNCTION("IMPORTRANGE(""https://docs.google.com/spreadsheets/d/1MeEWN-I1oV_STSDYn1IFDPWt_1FKiwhDph83XaGc0o0/edit?usp=sharing"",""งบพรบ!BS68"")"),0)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IFERROR(__xludf.DUMMYFUNCTION("IMPORTRANGE(""https://docs.google.com/spreadsheets/d/1QqKyyYR6Q21VydFLVH3TRQUabQu_ym0Zz7PgGX0-kHA/edit?usp=sharing"",""แผน!U68"")"),0)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IFERROR(__xludf.DUMMYFUNCTION("IMPORTRANGE(""https://docs.google.com/spreadsheets/d/1QqKyyYR6Q21VydFLVH3TRQUabQu_ym0Zz7PgGX0-kHA/edit?usp=sharing"",""แผน!V68"")"),0)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IFERROR(__xludf.DUMMYFUNCTION("IMPORTRANGE(""https://docs.google.com/spreadsheets/d/1QqKyyYR6Q21VydFLVH3TRQUabQu_ym0Zz7PgGX0-kHA/edit?usp=sharing"",""แผน!W68"")"),0)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10</v>
      </c>
      <c r="J148" s="143">
        <f>J159</f>
        <v>10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5000</v>
      </c>
      <c r="M149" s="154">
        <f ca="1">M150+M151</f>
        <v>19680</v>
      </c>
      <c r="N149" s="154">
        <f ca="1">N150+N151</f>
        <v>19680</v>
      </c>
      <c r="O149" s="154">
        <f t="shared" ref="O149:O157" ca="1" si="35">IF(L149&gt;0,N149*100/L149,0)</f>
        <v>393.6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5000</v>
      </c>
      <c r="M151" s="92">
        <f t="shared" ca="1" si="37"/>
        <v>19680</v>
      </c>
      <c r="N151" s="92">
        <f t="shared" ca="1" si="37"/>
        <v>19680</v>
      </c>
      <c r="O151" s="92">
        <f t="shared" ca="1" si="35"/>
        <v>393.6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5000</v>
      </c>
      <c r="M152" s="497">
        <f ca="1">M153+M154</f>
        <v>19680</v>
      </c>
      <c r="N152" s="497">
        <f ca="1">N153+N154</f>
        <v>19680</v>
      </c>
      <c r="O152" s="497">
        <f t="shared" ca="1" si="35"/>
        <v>393.6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IFERROR(__xludf.DUMMYFUNCTION("IMPORTRANGE(""https://docs.google.com/spreadsheets/d/1MeEWN-I1oV_STSDYn1IFDPWt_1FKiwhDph83XaGc0o0/edit?usp=sharing"",""งบพรบ!BU68"")"),5000)</f>
        <v>5000</v>
      </c>
      <c r="M154" s="92">
        <f ca="1">IFERROR(__xludf.DUMMYFUNCTION("IMPORTRANGE(""https://docs.google.com/spreadsheets/d/1MeEWN-I1oV_STSDYn1IFDPWt_1FKiwhDph83XaGc0o0/edit?usp=sharing"",""งบพรบ!BZ68"")"),19680)</f>
        <v>19680</v>
      </c>
      <c r="N154" s="92">
        <f ca="1">IFERROR(__xludf.DUMMYFUNCTION("IMPORTRANGE(""https://docs.google.com/spreadsheets/d/1MeEWN-I1oV_STSDYn1IFDPWt_1FKiwhDph83XaGc0o0/edit?usp=sharing"",""งบพรบ!CB68"")"),19680)</f>
        <v>19680</v>
      </c>
      <c r="O154" s="92">
        <f t="shared" ca="1" si="35"/>
        <v>393.6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IFERROR(__xludf.DUMMYFUNCTION("IMPORTRANGE(""https://docs.google.com/spreadsheets/d/1MeEWN-I1oV_STSDYn1IFDPWt_1FKiwhDph83XaGc0o0/edit?usp=sharing"",""งบพรบ!BX68"")"),0)</f>
        <v>0</v>
      </c>
      <c r="M157" s="92">
        <f ca="1">IFERROR(__xludf.DUMMYFUNCTION("IMPORTRANGE(""https://docs.google.com/spreadsheets/d/1MeEWN-I1oV_STSDYn1IFDPWt_1FKiwhDph83XaGc0o0/edit?usp=sharing"",""งบพรบ!CA68"")"),0)</f>
        <v>0</v>
      </c>
      <c r="N157" s="92">
        <f ca="1">IFERROR(__xludf.DUMMYFUNCTION("IMPORTRANGE(""https://docs.google.com/spreadsheets/d/1MeEWN-I1oV_STSDYn1IFDPWt_1FKiwhDph83XaGc0o0/edit?usp=sharing"",""งบพรบ!CC68"")"),0)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IFERROR(__xludf.DUMMYFUNCTION("IMPORTRANGE(""https://docs.google.com/spreadsheets/d/1QqKyyYR6Q21VydFLVH3TRQUabQu_ym0Zz7PgGX0-kHA/edit?usp=sharing"",""แผน!X68"")"),10)</f>
        <v>10</v>
      </c>
      <c r="J159" s="214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35260</v>
      </c>
      <c r="N165" s="154">
        <f ca="1">N166+N167</f>
        <v>35260</v>
      </c>
      <c r="O165" s="154">
        <f t="shared" ref="O165:O173" ca="1" si="38">IF(L165&gt;0,N165*100/L165,0)</f>
        <v>152.90546400693842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35260</v>
      </c>
      <c r="N167" s="92">
        <f t="shared" ca="1" si="40"/>
        <v>35260</v>
      </c>
      <c r="O167" s="92">
        <f t="shared" ca="1" si="38"/>
        <v>152.90546400693842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35260</v>
      </c>
      <c r="N168" s="497">
        <f ca="1">N169+N170</f>
        <v>35260</v>
      </c>
      <c r="O168" s="497">
        <f t="shared" ca="1" si="38"/>
        <v>152.90546400693842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IFERROR(__xludf.DUMMYFUNCTION("IMPORTRANGE(""https://docs.google.com/spreadsheets/d/1MeEWN-I1oV_STSDYn1IFDPWt_1FKiwhDph83XaGc0o0/edit?usp=sharing"",""งบพรบ!CE68"")"),23060)</f>
        <v>23060</v>
      </c>
      <c r="M170" s="92">
        <f ca="1">IFERROR(__xludf.DUMMYFUNCTION("IMPORTRANGE(""https://docs.google.com/spreadsheets/d/1MeEWN-I1oV_STSDYn1IFDPWt_1FKiwhDph83XaGc0o0/edit?usp=sharing"",""งบพรบ!CJ68"")"),35260)</f>
        <v>35260</v>
      </c>
      <c r="N170" s="92">
        <f ca="1">IFERROR(__xludf.DUMMYFUNCTION("IMPORTRANGE(""https://docs.google.com/spreadsheets/d/1MeEWN-I1oV_STSDYn1IFDPWt_1FKiwhDph83XaGc0o0/edit?usp=sharing"",""งบพรบ!CL68"")"),35260)</f>
        <v>35260</v>
      </c>
      <c r="O170" s="92">
        <f t="shared" ca="1" si="38"/>
        <v>152.90546400693842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IFERROR(__xludf.DUMMYFUNCTION("IMPORTRANGE(""https://docs.google.com/spreadsheets/d/1MeEWN-I1oV_STSDYn1IFDPWt_1FKiwhDph83XaGc0o0/edit?usp=sharing"",""งบพรบ!CH68"")"),0)</f>
        <v>0</v>
      </c>
      <c r="M173" s="92">
        <f ca="1">IFERROR(__xludf.DUMMYFUNCTION("IMPORTRANGE(""https://docs.google.com/spreadsheets/d/1MeEWN-I1oV_STSDYn1IFDPWt_1FKiwhDph83XaGc0o0/edit?usp=sharing"",""งบพรบ!CK68"")"),0)</f>
        <v>0</v>
      </c>
      <c r="N173" s="92">
        <f ca="1">IFERROR(__xludf.DUMMYFUNCTION("IMPORTRANGE(""https://docs.google.com/spreadsheets/d/1MeEWN-I1oV_STSDYn1IFDPWt_1FKiwhDph83XaGc0o0/edit?usp=sharing"",""งบพรบ!CM68"")"),0)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IFERROR(__xludf.DUMMYFUNCTION("IMPORTRANGE(""https://docs.google.com/spreadsheets/d/1QqKyyYR6Q21VydFLVH3TRQUabQu_ym0Zz7PgGX0-kHA/edit?usp=sharing"",""แผน!Y68"")"),12)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89000</v>
      </c>
      <c r="M181" s="154">
        <f ca="1">M182+M183</f>
        <v>89000</v>
      </c>
      <c r="N181" s="154">
        <f ca="1">N182+N183</f>
        <v>89000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89000</v>
      </c>
      <c r="M183" s="92">
        <f t="shared" ca="1" si="43"/>
        <v>89000</v>
      </c>
      <c r="N183" s="92">
        <f t="shared" ca="1" si="43"/>
        <v>89000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89000</v>
      </c>
      <c r="M184" s="497">
        <f ca="1">M185+M186</f>
        <v>89000</v>
      </c>
      <c r="N184" s="497">
        <f ca="1">N185+N186</f>
        <v>89000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IFERROR(__xludf.DUMMYFUNCTION("IMPORTRANGE(""https://docs.google.com/spreadsheets/d/1MeEWN-I1oV_STSDYn1IFDPWt_1FKiwhDph83XaGc0o0/edit?usp=sharing"",""งบพรบ!CO68"")"),89000)</f>
        <v>89000</v>
      </c>
      <c r="M186" s="92">
        <f ca="1">IFERROR(__xludf.DUMMYFUNCTION("IMPORTRANGE(""https://docs.google.com/spreadsheets/d/1MeEWN-I1oV_STSDYn1IFDPWt_1FKiwhDph83XaGc0o0/edit?usp=sharing"",""งบพรบ!CT68"")"),89000)</f>
        <v>89000</v>
      </c>
      <c r="N186" s="92">
        <f ca="1">IFERROR(__xludf.DUMMYFUNCTION("IMPORTRANGE(""https://docs.google.com/spreadsheets/d/1MeEWN-I1oV_STSDYn1IFDPWt_1FKiwhDph83XaGc0o0/edit?usp=sharing"",""งบพรบ!CV68"")"),89000)</f>
        <v>89000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IFERROR(__xludf.DUMMYFUNCTION("IMPORTRANGE(""https://docs.google.com/spreadsheets/d/1MeEWN-I1oV_STSDYn1IFDPWt_1FKiwhDph83XaGc0o0/edit?usp=sharing"",""งบพรบ!CR68"")"),0)</f>
        <v>0</v>
      </c>
      <c r="M189" s="92">
        <f ca="1">IFERROR(__xludf.DUMMYFUNCTION("IMPORTRANGE(""https://docs.google.com/spreadsheets/d/1MeEWN-I1oV_STSDYn1IFDPWt_1FKiwhDph83XaGc0o0/edit?usp=sharing"",""งบพรบ!CU68"")"),0)</f>
        <v>0</v>
      </c>
      <c r="N189" s="92">
        <f ca="1">IFERROR(__xludf.DUMMYFUNCTION("IMPORTRANGE(""https://docs.google.com/spreadsheets/d/1MeEWN-I1oV_STSDYn1IFDPWt_1FKiwhDph83XaGc0o0/edit?usp=sharing"",""งบพรบ!CW68"")"),0)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IFERROR(__xludf.DUMMYFUNCTION("IMPORTRANGE(""https://docs.google.com/spreadsheets/d/1QqKyyYR6Q21VydFLVH3TRQUabQu_ym0Zz7PgGX0-kHA/edit?usp=sharing"",""แผน!Z68"")"),6000)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IFERROR(__xludf.DUMMYFUNCTION("IMPORTRANGE(""https://docs.google.com/spreadsheets/d/1QqKyyYR6Q21VydFLVH3TRQUabQu_ym0Zz7PgGX0-kHA/edit?usp=sharing"",""แผน!AC68"")"),4)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60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60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52000</v>
      </c>
      <c r="M198" s="154"/>
      <c r="N198" s="154">
        <f>N199+N200+N201+N202</f>
        <v>52000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3">
        <v>4000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3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3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IFERROR(__xludf.DUMMYFUNCTION("IMPORTRANGE(""https://docs.google.com/spreadsheets/d/1QqKyyYR6Q21VydFLVH3TRQUabQu_ym0Zz7PgGX0-kHA/edit?usp=sharing"",""แผน!AI68"")"),4)</f>
        <v>4</v>
      </c>
      <c r="J204" s="214">
        <v>4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4</v>
      </c>
      <c r="J206" s="214">
        <v>4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IFERROR(__xludf.DUMMYFUNCTION("IMPORTRANGE(""https://docs.google.com/spreadsheets/d/1QqKyyYR6Q21VydFLVH3TRQUabQu_ym0Zz7PgGX0-kHA/edit?usp=sharing"",""แผน!AN68"")"),0)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IFERROR(__xludf.DUMMYFUNCTION("IMPORTRANGE(""https://docs.google.com/spreadsheets/d/1QqKyyYR6Q21VydFLVH3TRQUabQu_ym0Zz7PgGX0-kHA/edit?usp=sharing"",""แผน!AN68"")"),0)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100000</v>
      </c>
      <c r="J216" s="271">
        <f>J224</f>
        <v>100000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31000</v>
      </c>
      <c r="M217" s="154"/>
      <c r="N217" s="154">
        <f>N218+N219+N220</f>
        <v>31000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3">
        <v>6000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3">
        <v>25000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IFERROR(__xludf.DUMMYFUNCTION("IMPORTRANGE(""https://docs.google.com/spreadsheets/d/1QqKyyYR6Q21VydFLVH3TRQUabQu_ym0Zz7PgGX0-kHA/edit?usp=sharing"",""แผน!AT68"")"),100000)</f>
        <v>100000</v>
      </c>
      <c r="J223" s="214">
        <v>100000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IFERROR(__xludf.DUMMYFUNCTION("IMPORTRANGE(""https://docs.google.com/spreadsheets/d/1QqKyyYR6Q21VydFLVH3TRQUabQu_ym0Zz7PgGX0-kHA/edit?usp=sharing"",""แผน!AT68"")"),100000)</f>
        <v>100000</v>
      </c>
      <c r="J224" s="214">
        <v>100000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IFERROR(__xludf.DUMMYFUNCTION("IMPORTRANGE(""https://docs.google.com/spreadsheets/d/1QqKyyYR6Q21VydFLVH3TRQUabQu_ym0Zz7PgGX0-kHA/edit?usp=sharing"",""แผน!AS68"")"),0)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IFERROR(__xludf.DUMMYFUNCTION("IMPORTRANGE(""https://docs.google.com/spreadsheets/d/1QqKyyYR6Q21VydFLVH3TRQUabQu_ym0Zz7PgGX0-kHA/edit?usp=sharing"",""แผน!AV68"")"),0)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IFERROR(__xludf.DUMMYFUNCTION("IMPORTRANGE(""https://docs.google.com/spreadsheets/d/1QqKyyYR6Q21VydFLVH3TRQUabQu_ym0Zz7PgGX0-kHA/edit?usp=sharing"",""แผน!AW68"")"),0)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IFERROR(__xludf.DUMMYFUNCTION("IMPORTRANGE(""https://docs.google.com/spreadsheets/d/1QqKyyYR6Q21VydFLVH3TRQUabQu_ym0Zz7PgGX0-kHA/edit?usp=sharing"",""แผน!AX68"")"),0)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IFERROR(__xludf.DUMMYFUNCTION("IMPORTRANGE(""https://docs.google.com/spreadsheets/d/1QqKyyYR6Q21VydFLVH3TRQUabQu_ym0Zz7PgGX0-kHA/edit?usp=sharing"",""แผน!AY68"")"),0)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IFERROR(__xludf.DUMMYFUNCTION("IMPORTRANGE(""https://docs.google.com/spreadsheets/d/1QqKyyYR6Q21VydFLVH3TRQUabQu_ym0Zz7PgGX0-kHA/edit?usp=sharing"",""แผน!BE68"")"),0)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IFERROR(__xludf.DUMMYFUNCTION("IMPORTRANGE(""https://docs.google.com/spreadsheets/d/1QqKyyYR6Q21VydFLVH3TRQUabQu_ym0Zz7PgGX0-kHA/edit?usp=sharing"",""แผน!AZ68"")"),0)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IFERROR(__xludf.DUMMYFUNCTION("IMPORTRANGE(""https://docs.google.com/spreadsheets/d/1QqKyyYR6Q21VydFLVH3TRQUabQu_ym0Zz7PgGX0-kHA/edit?usp=sharing"",""แผน!BA68"")"),0)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IFERROR(__xludf.DUMMYFUNCTION("IMPORTRANGE(""https://docs.google.com/spreadsheets/d/1QqKyyYR6Q21VydFLVH3TRQUabQu_ym0Zz7PgGX0-kHA/edit?usp=sharing"",""แผน!BB68"")"),0)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IFERROR(__xludf.DUMMYFUNCTION("IMPORTRANGE(""https://docs.google.com/spreadsheets/d/1QqKyyYR6Q21VydFLVH3TRQUabQu_ym0Zz7PgGX0-kHA/edit?usp=sharing"",""แผน!BC68"")"),0)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IFERROR(__xludf.DUMMYFUNCTION("IMPORTRANGE(""https://docs.google.com/spreadsheets/d/1MeEWN-I1oV_STSDYn1IFDPWt_1FKiwhDph83XaGc0o0/edit?usp=sharing"",""งบพรบ!CY68"")"),26900)</f>
        <v>26900</v>
      </c>
      <c r="M266" s="92">
        <f ca="1">IFERROR(__xludf.DUMMYFUNCTION("IMPORTRANGE(""https://docs.google.com/spreadsheets/d/1MeEWN-I1oV_STSDYn1IFDPWt_1FKiwhDph83XaGc0o0/edit?usp=sharing"",""งบพรบ!DD68"")"),26900)</f>
        <v>26900</v>
      </c>
      <c r="N266" s="92">
        <f ca="1">IFERROR(__xludf.DUMMYFUNCTION("IMPORTRANGE(""https://docs.google.com/spreadsheets/d/1MeEWN-I1oV_STSDYn1IFDPWt_1FKiwhDph83XaGc0o0/edit?usp=sharing"",""งบพรบ!DF68"")"),26900)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IFERROR(__xludf.DUMMYFUNCTION("IMPORTRANGE(""https://docs.google.com/spreadsheets/d/1MeEWN-I1oV_STSDYn1IFDPWt_1FKiwhDph83XaGc0o0/edit?usp=sharing"",""งบพรบ!DB68"")"),0)</f>
        <v>0</v>
      </c>
      <c r="M269" s="92">
        <f ca="1">IFERROR(__xludf.DUMMYFUNCTION("IMPORTRANGE(""https://docs.google.com/spreadsheets/d/1MeEWN-I1oV_STSDYn1IFDPWt_1FKiwhDph83XaGc0o0/edit?usp=sharing"",""งบพรบ!DE68"")"),0)</f>
        <v>0</v>
      </c>
      <c r="N269" s="92">
        <f ca="1">IFERROR(__xludf.DUMMYFUNCTION("IMPORTRANGE(""https://docs.google.com/spreadsheets/d/1MeEWN-I1oV_STSDYn1IFDPWt_1FKiwhDph83XaGc0o0/edit?usp=sharing"",""งบพรบ!DG68"")"),0)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IFERROR(__xludf.DUMMYFUNCTION("IMPORTRANGE(""https://docs.google.com/spreadsheets/d/1QqKyyYR6Q21VydFLVH3TRQUabQu_ym0Zz7PgGX0-kHA/edit?usp=sharing"",""แผน!EA68"")"),22)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60</v>
      </c>
      <c r="J275" s="405">
        <f ca="1">J288</f>
        <v>60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600</v>
      </c>
      <c r="J276" s="860">
        <f>J287</f>
        <v>600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216980</v>
      </c>
      <c r="M277" s="154">
        <f ca="1">M278+M279</f>
        <v>216980</v>
      </c>
      <c r="N277" s="154">
        <f ca="1">N278+N279</f>
        <v>216980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216980</v>
      </c>
      <c r="M279" s="92">
        <f t="shared" ca="1" si="49"/>
        <v>216980</v>
      </c>
      <c r="N279" s="92">
        <f t="shared" ca="1" si="49"/>
        <v>216980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216980</v>
      </c>
      <c r="M280" s="497">
        <f ca="1">M281+M282</f>
        <v>216980</v>
      </c>
      <c r="N280" s="497">
        <f ca="1">N281+N282</f>
        <v>216980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IFERROR(__xludf.DUMMYFUNCTION("IMPORTRANGE(""https://docs.google.com/spreadsheets/d/1MeEWN-I1oV_STSDYn1IFDPWt_1FKiwhDph83XaGc0o0/edit?usp=sharing"",""งบพรบ!DI68"")"),216980)</f>
        <v>216980</v>
      </c>
      <c r="M282" s="92">
        <f ca="1">IFERROR(__xludf.DUMMYFUNCTION("IMPORTRANGE(""https://docs.google.com/spreadsheets/d/1MeEWN-I1oV_STSDYn1IFDPWt_1FKiwhDph83XaGc0o0/edit?usp=sharing"",""งบพรบ!DN68"")"),216980)</f>
        <v>216980</v>
      </c>
      <c r="N282" s="92">
        <f ca="1">IFERROR(__xludf.DUMMYFUNCTION("IMPORTRANGE(""https://docs.google.com/spreadsheets/d/1MeEWN-I1oV_STSDYn1IFDPWt_1FKiwhDph83XaGc0o0/edit?usp=sharing"",""งบพรบ!DP68"")"),216980)</f>
        <v>216980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IFERROR(__xludf.DUMMYFUNCTION("IMPORTRANGE(""https://docs.google.com/spreadsheets/d/1MeEWN-I1oV_STSDYn1IFDPWt_1FKiwhDph83XaGc0o0/edit?usp=sharing"",""งบพรบ!DL68"")"),0)</f>
        <v>0</v>
      </c>
      <c r="M285" s="92">
        <f ca="1">IFERROR(__xludf.DUMMYFUNCTION("IMPORTRANGE(""https://docs.google.com/spreadsheets/d/1MeEWN-I1oV_STSDYn1IFDPWt_1FKiwhDph83XaGc0o0/edit?usp=sharing"",""งบพรบ!DO68"")"),0)</f>
        <v>0</v>
      </c>
      <c r="N285" s="92">
        <f ca="1">IFERROR(__xludf.DUMMYFUNCTION("IMPORTRANGE(""https://docs.google.com/spreadsheets/d/1MeEWN-I1oV_STSDYn1IFDPWt_1FKiwhDph83XaGc0o0/edit?usp=sharing"",""งบพรบ!DQ68"")"),0)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IFERROR(__xludf.DUMMYFUNCTION("IMPORTRANGE(""https://docs.google.com/spreadsheets/d/1QqKyyYR6Q21VydFLVH3TRQUabQu_ym0Zz7PgGX0-kHA/edit?usp=sharing"",""แผน!EC68"")"),600)</f>
        <v>600</v>
      </c>
      <c r="J287" s="214">
        <v>600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IFERROR(__xludf.DUMMYFUNCTION("IMPORTRANGE(""https://docs.google.com/spreadsheets/d/1QqKyyYR6Q21VydFLVH3TRQUabQu_ym0Zz7PgGX0-kHA/edit?usp=sharing"",""แผน!EB68"")"),60)</f>
        <v>60</v>
      </c>
      <c r="J290" s="214">
        <v>60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IFERROR(__xludf.DUMMYFUNCTION("IMPORTRANGE(""https://docs.google.com/spreadsheets/d/1QqKyyYR6Q21VydFLVH3TRQUabQu_ym0Zz7PgGX0-kHA/edit?usp=sharing"",""แผน!EB68"")"),60)</f>
        <v>60</v>
      </c>
      <c r="J291" s="214">
        <v>60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IFERROR(__xludf.DUMMYFUNCTION("IMPORTRANGE(""https://docs.google.com/spreadsheets/d/1QqKyyYR6Q21VydFLVH3TRQUabQu_ym0Zz7PgGX0-kHA/edit?usp=sharing"",""แผน!EB68"")"),60)</f>
        <v>60</v>
      </c>
      <c r="J293" s="214">
        <v>60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IFERROR(__xludf.DUMMYFUNCTION("IMPORTRANGE(""https://docs.google.com/spreadsheets/d/1QqKyyYR6Q21VydFLVH3TRQUabQu_ym0Zz7PgGX0-kHA/edit?usp=sharing"",""แผน!EB68"")"),60)</f>
        <v>60</v>
      </c>
      <c r="J294" s="423">
        <v>60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25</v>
      </c>
      <c r="J297" s="443">
        <f>J309</f>
        <v>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101000</v>
      </c>
      <c r="M298" s="154">
        <f ca="1">M299+M300</f>
        <v>101000</v>
      </c>
      <c r="N298" s="154">
        <f ca="1">N299+N300</f>
        <v>101000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101000</v>
      </c>
      <c r="M300" s="92">
        <f t="shared" ca="1" si="52"/>
        <v>101000</v>
      </c>
      <c r="N300" s="92">
        <f t="shared" ca="1" si="52"/>
        <v>101000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101000</v>
      </c>
      <c r="M301" s="497">
        <f ca="1">M302+M303</f>
        <v>101000</v>
      </c>
      <c r="N301" s="497">
        <f ca="1">N302+N303</f>
        <v>101000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IFERROR(__xludf.DUMMYFUNCTION("IMPORTRANGE(""https://docs.google.com/spreadsheets/d/1MeEWN-I1oV_STSDYn1IFDPWt_1FKiwhDph83XaGc0o0/edit?usp=sharing"",""งบพรบ!DS68"")"),101000)</f>
        <v>101000</v>
      </c>
      <c r="M303" s="92">
        <f ca="1">IFERROR(__xludf.DUMMYFUNCTION("IMPORTRANGE(""https://docs.google.com/spreadsheets/d/1MeEWN-I1oV_STSDYn1IFDPWt_1FKiwhDph83XaGc0o0/edit?usp=sharing"",""งบพรบ!DX68"")"),101000)</f>
        <v>101000</v>
      </c>
      <c r="N303" s="92">
        <f ca="1">IFERROR(__xludf.DUMMYFUNCTION("IMPORTRANGE(""https://docs.google.com/spreadsheets/d/1MeEWN-I1oV_STSDYn1IFDPWt_1FKiwhDph83XaGc0o0/edit?usp=sharing"",""งบพรบ!DZ68"")"),101000)</f>
        <v>101000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IFERROR(__xludf.DUMMYFUNCTION("IMPORTRANGE(""https://docs.google.com/spreadsheets/d/1MeEWN-I1oV_STSDYn1IFDPWt_1FKiwhDph83XaGc0o0/edit?usp=sharing"",""งบพรบ!DV68"")"),0)</f>
        <v>0</v>
      </c>
      <c r="M306" s="92">
        <f ca="1">IFERROR(__xludf.DUMMYFUNCTION("IMPORTRANGE(""https://docs.google.com/spreadsheets/d/1MeEWN-I1oV_STSDYn1IFDPWt_1FKiwhDph83XaGc0o0/edit?usp=sharing"",""งบพรบ!DY68"")"),0)</f>
        <v>0</v>
      </c>
      <c r="N306" s="92">
        <f ca="1">IFERROR(__xludf.DUMMYFUNCTION("IMPORTRANGE(""https://docs.google.com/spreadsheets/d/1MeEWN-I1oV_STSDYn1IFDPWt_1FKiwhDph83XaGc0o0/edit?usp=sharing"",""งบพรบ!EA68"")"),0)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IFERROR(__xludf.DUMMYFUNCTION("IMPORTRANGE(""https://docs.google.com/spreadsheets/d/1QqKyyYR6Q21VydFLVH3TRQUabQu_ym0Zz7PgGX0-kHA/edit?usp=sharing"",""แผน!ED68"")"),25)</f>
        <v>25</v>
      </c>
      <c r="J309" s="214">
        <v>25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IFERROR(__xludf.DUMMYFUNCTION("IMPORTRANGE(""https://docs.google.com/spreadsheets/d/1QqKyyYR6Q21VydFLVH3TRQUabQu_ym0Zz7PgGX0-kHA/edit?usp=sharing"",""แผน!ED68"")"),25)</f>
        <v>25</v>
      </c>
      <c r="J310" s="214">
        <v>25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IFERROR(__xludf.DUMMYFUNCTION("IMPORTRANGE(""https://docs.google.com/spreadsheets/d/1QqKyyYR6Q21VydFLVH3TRQUabQu_ym0Zz7PgGX0-kHA/edit?usp=sharing"",""แผน!ED68"")"),25)</f>
        <v>25</v>
      </c>
      <c r="J311" s="214">
        <v>25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IFERROR(__xludf.DUMMYFUNCTION("IMPORTRANGE(""https://docs.google.com/spreadsheets/d/1QqKyyYR6Q21VydFLVH3TRQUabQu_ym0Zz7PgGX0-kHA/edit?usp=sharing"",""แผน!EE68"")"),5)</f>
        <v>5</v>
      </c>
      <c r="J312" s="214">
        <v>5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IFERROR(__xludf.DUMMYFUNCTION("IMPORTRANGE(""https://docs.google.com/spreadsheets/d/1MeEWN-I1oV_STSDYn1IFDPWt_1FKiwhDph83XaGc0o0/edit?usp=sharing"",""งบพรบ!EC68"")"),0)</f>
        <v>0</v>
      </c>
      <c r="M320" s="92">
        <f ca="1">IFERROR(__xludf.DUMMYFUNCTION("IMPORTRANGE(""https://docs.google.com/spreadsheets/d/1MeEWN-I1oV_STSDYn1IFDPWt_1FKiwhDph83XaGc0o0/edit?usp=sharing"",""งบพรบ!EH68"")"),0)</f>
        <v>0</v>
      </c>
      <c r="N320" s="92">
        <f ca="1">IFERROR(__xludf.DUMMYFUNCTION("IMPORTRANGE(""https://docs.google.com/spreadsheets/d/1MeEWN-I1oV_STSDYn1IFDPWt_1FKiwhDph83XaGc0o0/edit?usp=sharing"",""งบพรบ!EJ68"")"),0)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IFERROR(__xludf.DUMMYFUNCTION("IMPORTRANGE(""https://docs.google.com/spreadsheets/d/1MeEWN-I1oV_STSDYn1IFDPWt_1FKiwhDph83XaGc0o0/edit?usp=sharing"",""งบพรบ!EF68"")"),0)</f>
        <v>0</v>
      </c>
      <c r="M323" s="92">
        <f ca="1">IFERROR(__xludf.DUMMYFUNCTION("IMPORTRANGE(""https://docs.google.com/spreadsheets/d/1MeEWN-I1oV_STSDYn1IFDPWt_1FKiwhDph83XaGc0o0/edit?usp=sharing"",""งบพรบ!EI68"")"),0)</f>
        <v>0</v>
      </c>
      <c r="N323" s="92">
        <f ca="1">IFERROR(__xludf.DUMMYFUNCTION("IMPORTRANGE(""https://docs.google.com/spreadsheets/d/1MeEWN-I1oV_STSDYn1IFDPWt_1FKiwhDph83XaGc0o0/edit?usp=sharing"",""งบพรบ!EK68"")"),0)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IFERROR(__xludf.DUMMYFUNCTION("IMPORTRANGE(""https://docs.google.com/spreadsheets/d/1QqKyyYR6Q21VydFLVH3TRQUabQu_ym0Zz7PgGX0-kHA/edit?usp=sharing"",""แผน!EF68"")"),0)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IFERROR(__xludf.DUMMYFUNCTION("IMPORTRANGE(""https://docs.google.com/spreadsheets/d/1QqKyyYR6Q21VydFLVH3TRQUabQu_ym0Zz7PgGX0-kHA/edit?usp=sharing"",""แผน!EG68"")"),2100)</f>
        <v>2100</v>
      </c>
      <c r="J327" s="443">
        <f ca="1">J338+J341+J342+J343</f>
        <v>4522</v>
      </c>
      <c r="K327" s="444">
        <f ca="1">IF(I327&gt;0,J327*100/I327,0)</f>
        <v>215.33333333333334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170000</v>
      </c>
      <c r="M328" s="154">
        <f ca="1">M329+M330</f>
        <v>172500</v>
      </c>
      <c r="N328" s="154">
        <f ca="1">N329+N330</f>
        <v>172500</v>
      </c>
      <c r="O328" s="154">
        <f t="shared" ref="O328:O336" ca="1" si="56">IF(L328&gt;0,N328*100/L328,0)</f>
        <v>101.47058823529412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170000</v>
      </c>
      <c r="M330" s="92">
        <f t="shared" ca="1" si="58"/>
        <v>172500</v>
      </c>
      <c r="N330" s="92">
        <f t="shared" ca="1" si="58"/>
        <v>172500</v>
      </c>
      <c r="O330" s="92">
        <f t="shared" ca="1" si="56"/>
        <v>101.47058823529412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170000</v>
      </c>
      <c r="M331" s="497">
        <f ca="1">M332+M333</f>
        <v>172500</v>
      </c>
      <c r="N331" s="497">
        <f ca="1">N332+N333</f>
        <v>172500</v>
      </c>
      <c r="O331" s="497">
        <f t="shared" ca="1" si="56"/>
        <v>101.47058823529412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IFERROR(__xludf.DUMMYFUNCTION("IMPORTRANGE(""https://docs.google.com/spreadsheets/d/1MeEWN-I1oV_STSDYn1IFDPWt_1FKiwhDph83XaGc0o0/edit?usp=sharing"",""งบพรบ!EM68"")"),170000)</f>
        <v>170000</v>
      </c>
      <c r="M333" s="92">
        <f ca="1">IFERROR(__xludf.DUMMYFUNCTION("IMPORTRANGE(""https://docs.google.com/spreadsheets/d/1MeEWN-I1oV_STSDYn1IFDPWt_1FKiwhDph83XaGc0o0/edit?usp=sharing"",""งบพรบ!ER68"")"),172500)</f>
        <v>172500</v>
      </c>
      <c r="N333" s="92">
        <f ca="1">IFERROR(__xludf.DUMMYFUNCTION("IMPORTRANGE(""https://docs.google.com/spreadsheets/d/1MeEWN-I1oV_STSDYn1IFDPWt_1FKiwhDph83XaGc0o0/edit?usp=sharing"",""งบพรบ!ET68"")"),172500)</f>
        <v>172500</v>
      </c>
      <c r="O333" s="92">
        <f t="shared" ca="1" si="56"/>
        <v>101.47058823529412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IFERROR(__xludf.DUMMYFUNCTION("IMPORTRANGE(""https://docs.google.com/spreadsheets/d/1MeEWN-I1oV_STSDYn1IFDPWt_1FKiwhDph83XaGc0o0/edit?usp=sharing"",""งบพรบ!EP68"")"),0)</f>
        <v>0</v>
      </c>
      <c r="M336" s="92">
        <f ca="1">IFERROR(__xludf.DUMMYFUNCTION("IMPORTRANGE(""https://docs.google.com/spreadsheets/d/1MeEWN-I1oV_STSDYn1IFDPWt_1FKiwhDph83XaGc0o0/edit?usp=sharing"",""งบพรบ!ES68"")"),0)</f>
        <v>0</v>
      </c>
      <c r="N336" s="92">
        <f ca="1">IFERROR(__xludf.DUMMYFUNCTION("IMPORTRANGE(""https://docs.google.com/spreadsheets/d/1MeEWN-I1oV_STSDYn1IFDPWt_1FKiwhDph83XaGc0o0/edit?usp=sharing"",""งบพรบ!EU68"")"),0)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IFERROR(__xludf.DUMMYFUNCTION("IMPORTRANGE(""https://docs.google.com/spreadsheets/d/1QqKyyYR6Q21VydFLVH3TRQUabQu_ym0Zz7PgGX0-kHA/edit?usp=sharing"",""แผน!EG68"")"),2100)</f>
        <v>2100</v>
      </c>
      <c r="J338" s="269">
        <f ca="1">IFERROR(__xludf.DUMMYFUNCTION("IMPORTRANGE(""https://docs.google.com/spreadsheets/d/1kVcqe37tkHyjCSG3S0O1AXqVkqjo8mSIZil3BcpIysc/edit?usp=sharing"",""ศูนย์!D68"")"),4181)</f>
        <v>4181</v>
      </c>
      <c r="K338" s="497">
        <f ca="1">IF(I338&gt;0,J338*100/I338,0)</f>
        <v>199.0952380952381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IFERROR(__xludf.DUMMYFUNCTION("IMPORTRANGE(""https://docs.google.com/spreadsheets/d/1QqKyyYR6Q21VydFLVH3TRQUabQu_ym0Zz7PgGX0-kHA/edit?usp=sharing"",""แผน!EH68"")"),6)</f>
        <v>6</v>
      </c>
      <c r="J340" s="269">
        <f ca="1">IFERROR(__xludf.DUMMYFUNCTION("IMPORTRANGE(""https://docs.google.com/spreadsheets/d/1kVcqe37tkHyjCSG3S0O1AXqVkqjo8mSIZil3BcpIysc/edit?usp=sharing"",""ศูนย์!E68"")"),6)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IFERROR(__xludf.DUMMYFUNCTION("IMPORTRANGE(""https://docs.google.com/spreadsheets/d/1kVcqe37tkHyjCSG3S0O1AXqVkqjo8mSIZil3BcpIysc/edit?usp=sharing"",""ศูนย์!F68"")"),339)</f>
        <v>339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IFERROR(__xludf.DUMMYFUNCTION("IMPORTRANGE(""https://docs.google.com/spreadsheets/d/1kVcqe37tkHyjCSG3S0O1AXqVkqjo8mSIZil3BcpIysc/edit?usp=sharing"",""ศูนย์!G68"")"),2)</f>
        <v>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773600</v>
      </c>
      <c r="M345" s="154">
        <f ca="1">M346+M347</f>
        <v>858600</v>
      </c>
      <c r="N345" s="154">
        <f ca="1">N346+N347</f>
        <v>858600</v>
      </c>
      <c r="O345" s="154">
        <f t="shared" ref="O345:O353" ca="1" si="59">IF(L345&gt;0,N345*100/L345,0)</f>
        <v>110.9875904860393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773600</v>
      </c>
      <c r="M347" s="92">
        <f t="shared" ca="1" si="61"/>
        <v>858600</v>
      </c>
      <c r="N347" s="92">
        <f t="shared" ca="1" si="61"/>
        <v>858600</v>
      </c>
      <c r="O347" s="92">
        <f t="shared" ca="1" si="59"/>
        <v>110.9875904860393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720800</v>
      </c>
      <c r="M348" s="497">
        <f ca="1">M349+M350</f>
        <v>805800</v>
      </c>
      <c r="N348" s="497">
        <f ca="1">N349+N350</f>
        <v>805800</v>
      </c>
      <c r="O348" s="497">
        <f t="shared" ca="1" si="59"/>
        <v>111.79245283018868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IFERROR(__xludf.DUMMYFUNCTION("IMPORTRANGE(""https://docs.google.com/spreadsheets/d/1MeEWN-I1oV_STSDYn1IFDPWt_1FKiwhDph83XaGc0o0/edit?usp=sharing"",""งบพรบ!EW68"")"),720800)</f>
        <v>720800</v>
      </c>
      <c r="M350" s="92">
        <f ca="1">IFERROR(__xludf.DUMMYFUNCTION("IMPORTRANGE(""https://docs.google.com/spreadsheets/d/1MeEWN-I1oV_STSDYn1IFDPWt_1FKiwhDph83XaGc0o0/edit?usp=sharing"",""งบพรบ!FB68"")"),805800)</f>
        <v>805800</v>
      </c>
      <c r="N350" s="92">
        <f ca="1">IFERROR(__xludf.DUMMYFUNCTION("IMPORTRANGE(""https://docs.google.com/spreadsheets/d/1MeEWN-I1oV_STSDYn1IFDPWt_1FKiwhDph83XaGc0o0/edit?usp=sharing"",""งบพรบ!FD68"")"),805800)</f>
        <v>805800</v>
      </c>
      <c r="O350" s="92">
        <f t="shared" ca="1" si="59"/>
        <v>111.79245283018868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52800</v>
      </c>
      <c r="M351" s="497">
        <f ca="1">M352+M353</f>
        <v>52800</v>
      </c>
      <c r="N351" s="497">
        <f ca="1">N352+N353</f>
        <v>52800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IFERROR(__xludf.DUMMYFUNCTION("IMPORTRANGE(""https://docs.google.com/spreadsheets/d/1MeEWN-I1oV_STSDYn1IFDPWt_1FKiwhDph83XaGc0o0/edit?usp=sharing"",""งบพรบ!EZ68"")"),52800)</f>
        <v>52800</v>
      </c>
      <c r="M353" s="92">
        <f ca="1">IFERROR(__xludf.DUMMYFUNCTION("IMPORTRANGE(""https://docs.google.com/spreadsheets/d/1MeEWN-I1oV_STSDYn1IFDPWt_1FKiwhDph83XaGc0o0/edit?usp=sharing"",""งบพรบ!FC68"")"),52800)</f>
        <v>52800</v>
      </c>
      <c r="N353" s="92">
        <f ca="1">IFERROR(__xludf.DUMMYFUNCTION("IMPORTRANGE(""https://docs.google.com/spreadsheets/d/1MeEWN-I1oV_STSDYn1IFDPWt_1FKiwhDph83XaGc0o0/edit?usp=sharing"",""งบพรบ!FE68"")"),52800)</f>
        <v>52800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300</v>
      </c>
      <c r="K355" s="465">
        <f ca="1">IF(I355&gt;0,J355*100/I355,0)</f>
        <v>81.081081081081081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IFERROR(__xludf.DUMMYFUNCTION("IMPORTRANGE(""https://docs.google.com/spreadsheets/d/1XWAQStnk-4SwqDmLtmXYiTMKHgktTP8We1SCoS47DrQ/edit?usp=sharing"",""จัดที่ดิน!W68"")"),375)</f>
        <v>375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IFERROR(__xludf.DUMMYFUNCTION("IMPORTRANGE(""https://docs.google.com/spreadsheets/d/1QqKyyYR6Q21VydFLVH3TRQUabQu_ym0Zz7PgGX0-kHA/edit?usp=sharing"",""แผน!EO68"")"),4000)</f>
        <v>4000</v>
      </c>
      <c r="J359" s="269">
        <f ca="1">IFERROR(__xludf.DUMMYFUNCTION("IMPORTRANGE(""https://docs.google.com/spreadsheets/d/1XWAQStnk-4SwqDmLtmXYiTMKHgktTP8We1SCoS47DrQ/edit?usp=sharing"",""จัดที่ดิน!X68"")"),4178.30999999999)</f>
        <v>4178.3099999999904</v>
      </c>
      <c r="K359" s="497">
        <f t="shared" ca="1" si="62"/>
        <v>104.45774999999976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IFERROR(__xludf.DUMMYFUNCTION("IMPORTRANGE(""https://docs.google.com/spreadsheets/d/1QqKyyYR6Q21VydFLVH3TRQUabQu_ym0Zz7PgGX0-kHA/edit?usp=sharing"",""แผน!EP68"")"),370)</f>
        <v>370</v>
      </c>
      <c r="J360" s="269">
        <f ca="1">IFERROR(__xludf.DUMMYFUNCTION("IMPORTRANGE(""https://docs.google.com/spreadsheets/d/1XWAQStnk-4SwqDmLtmXYiTMKHgktTP8We1SCoS47DrQ/edit?usp=sharing"",""จัดที่ดิน!Y68"")"),322)</f>
        <v>322</v>
      </c>
      <c r="K360" s="497">
        <f t="shared" ca="1" si="62"/>
        <v>87.027027027027032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IFERROR(__xludf.DUMMYFUNCTION("IMPORTRANGE(""https://docs.google.com/spreadsheets/d/1XWAQStnk-4SwqDmLtmXYiTMKHgktTP8We1SCoS47DrQ/edit?usp=sharing"",""จัดที่ดิน!Z68"")"),3672.28)</f>
        <v>3672.28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IFERROR(__xludf.DUMMYFUNCTION("IMPORTRANGE(""https://docs.google.com/spreadsheets/d/1QqKyyYR6Q21VydFLVH3TRQUabQu_ym0Zz7PgGX0-kHA/edit?usp=sharing"",""แผน!EP68"")"),370)</f>
        <v>370</v>
      </c>
      <c r="J362" s="269">
        <f ca="1">IFERROR(__xludf.DUMMYFUNCTION("IMPORTRANGE(""https://docs.google.com/spreadsheets/d/1XWAQStnk-4SwqDmLtmXYiTMKHgktTP8We1SCoS47DrQ/edit?usp=sharing"",""จัดที่ดิน!AA68"")"),300)</f>
        <v>300</v>
      </c>
      <c r="K362" s="497">
        <f t="shared" ca="1" si="62"/>
        <v>81.081081081081081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IFERROR(__xludf.DUMMYFUNCTION("IMPORTRANGE(""https://docs.google.com/spreadsheets/d/1XWAQStnk-4SwqDmLtmXYiTMKHgktTP8We1SCoS47DrQ/edit?usp=sharing"",""จัดที่ดิน!AB68"")"),3534.62)</f>
        <v>3534.62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500</v>
      </c>
      <c r="J364" s="478">
        <f ca="1">J365+J374</f>
        <v>663</v>
      </c>
      <c r="K364" s="479">
        <f t="shared" ca="1" si="62"/>
        <v>132.6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39</v>
      </c>
      <c r="K365" s="491">
        <f t="shared" ca="1" si="62"/>
        <v>195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IFERROR(__xludf.DUMMYFUNCTION("IMPORTRANGE(""https://docs.google.com/spreadsheets/d/1XWAQStnk-4SwqDmLtmXYiTMKHgktTP8We1SCoS47DrQ/edit?usp=sharing"",""จัดที่ดิน!E68"")"),60)</f>
        <v>60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IFERROR(__xludf.DUMMYFUNCTION("IMPORTRANGE(""https://docs.google.com/spreadsheets/d/1QqKyyYR6Q21VydFLVH3TRQUabQu_ym0Zz7PgGX0-kHA/edit?usp=sharing"",""แผน!EI68"")"),500)</f>
        <v>500</v>
      </c>
      <c r="J369" s="269">
        <f ca="1">IFERROR(__xludf.DUMMYFUNCTION("IMPORTRANGE(""https://docs.google.com/spreadsheets/d/1XWAQStnk-4SwqDmLtmXYiTMKHgktTP8We1SCoS47DrQ/edit?usp=sharing"",""จัดที่ดิน!F68"")"),774.38)</f>
        <v>774.38</v>
      </c>
      <c r="K369" s="497">
        <f t="shared" ca="1" si="63"/>
        <v>154.876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IFERROR(__xludf.DUMMYFUNCTION("IMPORTRANGE(""https://docs.google.com/spreadsheets/d/1QqKyyYR6Q21VydFLVH3TRQUabQu_ym0Zz7PgGX0-kHA/edit?usp=sharing"",""แผน!EJ68"")"),20)</f>
        <v>20</v>
      </c>
      <c r="J370" s="269">
        <f ca="1">IFERROR(__xludf.DUMMYFUNCTION("IMPORTRANGE(""https://docs.google.com/spreadsheets/d/1XWAQStnk-4SwqDmLtmXYiTMKHgktTP8We1SCoS47DrQ/edit?usp=sharing"",""จัดที่ดิน!G68"")"),43)</f>
        <v>43</v>
      </c>
      <c r="K370" s="497">
        <f t="shared" ca="1" si="63"/>
        <v>215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IFERROR(__xludf.DUMMYFUNCTION("IMPORTRANGE(""https://docs.google.com/spreadsheets/d/1XWAQStnk-4SwqDmLtmXYiTMKHgktTP8We1SCoS47DrQ/edit?usp=sharing"",""จัดที่ดิน!H68"")"),764.44)</f>
        <v>764.44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IFERROR(__xludf.DUMMYFUNCTION("IMPORTRANGE(""https://docs.google.com/spreadsheets/d/1QqKyyYR6Q21VydFLVH3TRQUabQu_ym0Zz7PgGX0-kHA/edit?usp=sharing"",""แผน!EJ68"")"),20)</f>
        <v>20</v>
      </c>
      <c r="J372" s="269">
        <f ca="1">IFERROR(__xludf.DUMMYFUNCTION("IMPORTRANGE(""https://docs.google.com/spreadsheets/d/1XWAQStnk-4SwqDmLtmXYiTMKHgktTP8We1SCoS47DrQ/edit?usp=sharing"",""จัดที่ดิน!I68"")"),39)</f>
        <v>39</v>
      </c>
      <c r="K372" s="497">
        <f t="shared" ca="1" si="63"/>
        <v>195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IFERROR(__xludf.DUMMYFUNCTION("IMPORTRANGE(""https://docs.google.com/spreadsheets/d/1XWAQStnk-4SwqDmLtmXYiTMKHgktTP8We1SCoS47DrQ/edit?usp=sharing"",""จัดที่ดิน!J68"")"),622.33)</f>
        <v>622.33000000000004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624</v>
      </c>
      <c r="K374" s="491">
        <f t="shared" ca="1" si="63"/>
        <v>130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IFERROR(__xludf.DUMMYFUNCTION("IMPORTRANGE(""https://docs.google.com/spreadsheets/d/1XWAQStnk-4SwqDmLtmXYiTMKHgktTP8We1SCoS47DrQ/edit?usp=sharing"",""จัดที่ดิน!AH68"")"),315)</f>
        <v>315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IFERROR(__xludf.DUMMYFUNCTION("IMPORTRANGE(""https://docs.google.com/spreadsheets/d/1QqKyyYR6Q21VydFLVH3TRQUabQu_ym0Zz7PgGX0-kHA/edit?usp=sharing"",""แผน!ET68"")"),3500)</f>
        <v>3500</v>
      </c>
      <c r="J378" s="269">
        <f ca="1">IFERROR(__xludf.DUMMYFUNCTION("IMPORTRANGE(""https://docs.google.com/spreadsheets/d/1XWAQStnk-4SwqDmLtmXYiTMKHgktTP8We1SCoS47DrQ/edit?usp=sharing"",""จัดที่ดิน!AI68"")"),3403.93)</f>
        <v>3403.93</v>
      </c>
      <c r="K378" s="497">
        <f t="shared" ca="1" si="64"/>
        <v>97.255142857142857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IFERROR(__xludf.DUMMYFUNCTION("IMPORTRANGE(""https://docs.google.com/spreadsheets/d/1QqKyyYR6Q21VydFLVH3TRQUabQu_ym0Zz7PgGX0-kHA/edit?usp=sharing"",""แผน!EU68"")"),480)</f>
        <v>480</v>
      </c>
      <c r="J379" s="269">
        <f ca="1">IFERROR(__xludf.DUMMYFUNCTION("IMPORTRANGE(""https://docs.google.com/spreadsheets/d/1XWAQStnk-4SwqDmLtmXYiTMKHgktTP8We1SCoS47DrQ/edit?usp=sharing"",""จัดที่ดิน!AJ68"")"),643)</f>
        <v>643</v>
      </c>
      <c r="K379" s="497">
        <f t="shared" ca="1" si="64"/>
        <v>133.95833333333334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IFERROR(__xludf.DUMMYFUNCTION("IMPORTRANGE(""https://docs.google.com/spreadsheets/d/1XWAQStnk-4SwqDmLtmXYiTMKHgktTP8We1SCoS47DrQ/edit?usp=sharing"",""จัดที่ดิน!AK68"")"),8861.77999999999)</f>
        <v>8861.7799999999897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IFERROR(__xludf.DUMMYFUNCTION("IMPORTRANGE(""https://docs.google.com/spreadsheets/d/1QqKyyYR6Q21VydFLVH3TRQUabQu_ym0Zz7PgGX0-kHA/edit?usp=sharing"",""แผน!EU68"")"),480)</f>
        <v>480</v>
      </c>
      <c r="J381" s="269">
        <f ca="1">IFERROR(__xludf.DUMMYFUNCTION("IMPORTRANGE(""https://docs.google.com/spreadsheets/d/1XWAQStnk-4SwqDmLtmXYiTMKHgktTP8We1SCoS47DrQ/edit?usp=sharing"",""จัดที่ดิน!AL68"")"),624)</f>
        <v>624</v>
      </c>
      <c r="K381" s="497">
        <f t="shared" ca="1" si="64"/>
        <v>130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IFERROR(__xludf.DUMMYFUNCTION("IMPORTRANGE(""https://docs.google.com/spreadsheets/d/1XWAQStnk-4SwqDmLtmXYiTMKHgktTP8We1SCoS47DrQ/edit?usp=sharing"",""จัดที่ดิน!AM68"")"),8856.45)</f>
        <v>8856.4500000000007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IFERROR(__xludf.DUMMYFUNCTION("IMPORTRANGE(""https://docs.google.com/spreadsheets/d/1XWAQStnk-4SwqDmLtmXYiTMKHgktTP8We1SCoS47DrQ/edit?usp=sharing"",""จัดที่ดิน!AP68"")"),20)</f>
        <v>20</v>
      </c>
      <c r="K385" s="502">
        <f ca="1">IF(I385&gt;0,J385*100/I385,0)</f>
        <v>200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IFERROR(__xludf.DUMMYFUNCTION("IMPORTRANGE(""https://docs.google.com/spreadsheets/d/1MeEWN-I1oV_STSDYn1IFDPWt_1FKiwhDph83XaGc0o0/edit?usp=sharing"",""งบพรบ!FG68"")"),0)</f>
        <v>0</v>
      </c>
      <c r="M394" s="92">
        <f ca="1">IFERROR(__xludf.DUMMYFUNCTION("IMPORTRANGE(""https://docs.google.com/spreadsheets/d/1MeEWN-I1oV_STSDYn1IFDPWt_1FKiwhDph83XaGc0o0/edit?usp=sharing"",""งบพรบ!FL68"")"),0)</f>
        <v>0</v>
      </c>
      <c r="N394" s="92">
        <f ca="1">IFERROR(__xludf.DUMMYFUNCTION("IMPORTRANGE(""https://docs.google.com/spreadsheets/d/1MeEWN-I1oV_STSDYn1IFDPWt_1FKiwhDph83XaGc0o0/edit?usp=sharing"",""งบพรบ!FN68"")"),0)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IFERROR(__xludf.DUMMYFUNCTION("IMPORTRANGE(""https://docs.google.com/spreadsheets/d/1MeEWN-I1oV_STSDYn1IFDPWt_1FKiwhDph83XaGc0o0/edit?usp=sharing"",""งบพรบ!FJ68"")"),0)</f>
        <v>0</v>
      </c>
      <c r="M397" s="92">
        <f ca="1">IFERROR(__xludf.DUMMYFUNCTION("IMPORTRANGE(""https://docs.google.com/spreadsheets/d/1MeEWN-I1oV_STSDYn1IFDPWt_1FKiwhDph83XaGc0o0/edit?usp=sharing"",""งบพรบ!FM68"")"),0)</f>
        <v>0</v>
      </c>
      <c r="N397" s="92">
        <f ca="1">IFERROR(__xludf.DUMMYFUNCTION("IMPORTRANGE(""https://docs.google.com/spreadsheets/d/1MeEWN-I1oV_STSDYn1IFDPWt_1FKiwhDph83XaGc0o0/edit?usp=sharing"",""งบพรบ!FO68"")"),0)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IFERROR(__xludf.DUMMYFUNCTION("IMPORTRANGE(""https://docs.google.com/spreadsheets/d/1MeEWN-I1oV_STSDYn1IFDPWt_1FKiwhDph83XaGc0o0/edit?usp=sharing"",""งบพรบ!FQ68"")"),0)</f>
        <v>0</v>
      </c>
      <c r="M407" s="92">
        <f ca="1">IFERROR(__xludf.DUMMYFUNCTION("IMPORTRANGE(""https://docs.google.com/spreadsheets/d/1MeEWN-I1oV_STSDYn1IFDPWt_1FKiwhDph83XaGc0o0/edit?usp=sharing"",""งบพรบ!FV68"")"),0)</f>
        <v>0</v>
      </c>
      <c r="N407" s="92">
        <f ca="1">IFERROR(__xludf.DUMMYFUNCTION("IMPORTRANGE(""https://docs.google.com/spreadsheets/d/1MeEWN-I1oV_STSDYn1IFDPWt_1FKiwhDph83XaGc0o0/edit?usp=sharing"",""งบพรบ!FX68"")"),0)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IFERROR(__xludf.DUMMYFUNCTION("IMPORTRANGE(""https://docs.google.com/spreadsheets/d/1MeEWN-I1oV_STSDYn1IFDPWt_1FKiwhDph83XaGc0o0/edit?usp=sharing"",""งบพรบ!FT68"")"),0)</f>
        <v>0</v>
      </c>
      <c r="M410" s="92">
        <f ca="1">IFERROR(__xludf.DUMMYFUNCTION("IMPORTRANGE(""https://docs.google.com/spreadsheets/d/1MeEWN-I1oV_STSDYn1IFDPWt_1FKiwhDph83XaGc0o0/edit?usp=sharing"",""งบพรบ!FW68"")"),0)</f>
        <v>0</v>
      </c>
      <c r="N410" s="92">
        <f ca="1">IFERROR(__xludf.DUMMYFUNCTION("IMPORTRANGE(""https://docs.google.com/spreadsheets/d/1MeEWN-I1oV_STSDYn1IFDPWt_1FKiwhDph83XaGc0o0/edit?usp=sharing"",""งบพรบ!FY68"")"),0)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2515000</v>
      </c>
      <c r="M414" s="549">
        <f ca="1">M419+M444+M467+M502+M523+M544+M629+M655+M685+M737+M754+M770+M786+M805</f>
        <v>2123585.77</v>
      </c>
      <c r="N414" s="549">
        <f>N419+N444+N467+N502+N523+N544+N629+N655+N685+N737+N754+N770+N786+N805</f>
        <v>2123585.77</v>
      </c>
      <c r="O414" s="549">
        <f ca="1">IF(L414&gt;0,N414*100/L414,0)</f>
        <v>84.436809940357847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70</v>
      </c>
      <c r="J417" s="565">
        <f ca="1">J433</f>
        <v>70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212800</v>
      </c>
      <c r="M419" s="154">
        <f ca="1">M420+M421</f>
        <v>225400</v>
      </c>
      <c r="N419" s="154">
        <f>N420+N421</f>
        <v>225400</v>
      </c>
      <c r="O419" s="154">
        <f t="shared" ref="O419:O424" ca="1" si="71">IF(L419&gt;0,N419*100/L419,0)</f>
        <v>105.92105263157895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212800</v>
      </c>
      <c r="M421" s="92">
        <f t="shared" ca="1" si="73"/>
        <v>225400</v>
      </c>
      <c r="N421" s="92">
        <f t="shared" si="73"/>
        <v>225400</v>
      </c>
      <c r="O421" s="92">
        <f t="shared" ca="1" si="71"/>
        <v>105.92105263157895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212800</v>
      </c>
      <c r="M422" s="497">
        <f ca="1">M423+M424</f>
        <v>225400</v>
      </c>
      <c r="N422" s="497">
        <f>N423+N424</f>
        <v>225400</v>
      </c>
      <c r="O422" s="497">
        <f t="shared" ca="1" si="71"/>
        <v>105.92105263157895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IFERROR(__xludf.DUMMYFUNCTION("IMPORTRANGE(""https://docs.google.com/spreadsheets/d/1QqKyyYR6Q21VydFLVH3TRQUabQu_ym0Zz7PgGX0-kHA/edit?usp=sharing"",""แผน!EY68"")"),212800)</f>
        <v>212800</v>
      </c>
      <c r="M424" s="92">
        <f ca="1">L424+20700-8100</f>
        <v>225400</v>
      </c>
      <c r="N424" s="92">
        <f>N425+N426+N427+N428</f>
        <v>225400</v>
      </c>
      <c r="O424" s="92">
        <f t="shared" ca="1" si="71"/>
        <v>105.92105263157895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42860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IFERROR(__xludf.DUMMYFUNCTION("IMPORTRANGE(""https://docs.google.com/spreadsheets/d/1QqKyyYR6Q21VydFLVH3TRQUabQu_ym0Zz7PgGX0-kHA/edit?usp=sharing"",""แผน!FE68"")"),1)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IFERROR(__xludf.DUMMYFUNCTION("IMPORTRANGE(""https://docs.google.com/spreadsheets/d/1QqKyyYR6Q21VydFLVH3TRQUabQu_ym0Zz7PgGX0-kHA/edit?usp=sharing"",""แผน!FG68"")"),1)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IFERROR(__xludf.DUMMYFUNCTION("IMPORTRANGE(""https://docs.google.com/spreadsheets/d/1QqKyyYR6Q21VydFLVH3TRQUabQu_ym0Zz7PgGX0-kHA/edit?usp=sharing"",""แผน!FH68"")"),0)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40</v>
      </c>
      <c r="J442" s="585">
        <f>J460</f>
        <v>40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65</v>
      </c>
      <c r="J443" s="565">
        <f>J462</f>
        <v>65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312380</v>
      </c>
      <c r="M444" s="194">
        <f ca="1">M445+M446</f>
        <v>311526</v>
      </c>
      <c r="N444" s="194">
        <f>N445+N446</f>
        <v>311526</v>
      </c>
      <c r="O444" s="194">
        <f t="shared" ref="O444:O449" ca="1" si="75">IF(L444&gt;0,N444*100/L444,0)</f>
        <v>99.726615020167742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312380</v>
      </c>
      <c r="M446" s="92">
        <f t="shared" ca="1" si="77"/>
        <v>311526</v>
      </c>
      <c r="N446" s="92">
        <f t="shared" si="77"/>
        <v>311526</v>
      </c>
      <c r="O446" s="92">
        <f t="shared" ca="1" si="75"/>
        <v>99.726615020167742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312380</v>
      </c>
      <c r="M447" s="497">
        <f ca="1">M448+M449</f>
        <v>311526</v>
      </c>
      <c r="N447" s="497">
        <f>N448+N449</f>
        <v>311526</v>
      </c>
      <c r="O447" s="497">
        <f t="shared" ca="1" si="75"/>
        <v>99.726615020167742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IFERROR(__xludf.DUMMYFUNCTION("IMPORTRANGE(""https://docs.google.com/spreadsheets/d/1QqKyyYR6Q21VydFLVH3TRQUabQu_ym0Zz7PgGX0-kHA/edit?usp=sharing"",""แผน!FJ68"")"),312380)</f>
        <v>312380</v>
      </c>
      <c r="M449" s="92">
        <f ca="1">L449-854</f>
        <v>311526</v>
      </c>
      <c r="N449" s="92">
        <f>N450+N451+N452+N453</f>
        <v>311526</v>
      </c>
      <c r="O449" s="92">
        <f t="shared" ca="1" si="75"/>
        <v>99.726615020167742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55570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142146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f>3490+34820</f>
        <v>38310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IFERROR(__xludf.DUMMYFUNCTION("IMPORTRANGE(""https://docs.google.com/spreadsheets/d/1QqKyyYR6Q21VydFLVH3TRQUabQu_ym0Zz7PgGX0-kHA/edit?usp=sharing"",""แผน!FN68"")"),40)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IFERROR(__xludf.DUMMYFUNCTION("IMPORTRANGE(""https://docs.google.com/spreadsheets/d/1QqKyyYR6Q21VydFLVH3TRQUabQu_ym0Zz7PgGX0-kHA/edit?usp=sharing"",""แผน!FO68"")"),65)</f>
        <v>65</v>
      </c>
      <c r="J462" s="214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IFERROR(__xludf.DUMMYFUNCTION("IMPORTRANGE(""https://docs.google.com/spreadsheets/d/1QqKyyYR6Q21VydFLVH3TRQUabQu_ym0Zz7PgGX0-kHA/edit?usp=sharing"",""แผน!FO68"")"),65)</f>
        <v>65</v>
      </c>
      <c r="J463" s="214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IFERROR(__xludf.DUMMYFUNCTION("IMPORTRANGE(""https://docs.google.com/spreadsheets/d/1QqKyyYR6Q21VydFLVH3TRQUabQu_ym0Zz7PgGX0-kHA/edit?usp=sharing"",""แผน!FN68"")"),40)</f>
        <v>40</v>
      </c>
      <c r="J464" s="214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1161548</v>
      </c>
      <c r="M467" s="194">
        <f ca="1">M468+M469</f>
        <v>817666</v>
      </c>
      <c r="N467" s="194">
        <f>N468+N469</f>
        <v>817666</v>
      </c>
      <c r="O467" s="194">
        <f t="shared" ref="O467:O472" ca="1" si="78">IF(L467&gt;0,N467*100/L467,0)</f>
        <v>70.394508018609642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1161548</v>
      </c>
      <c r="M469" s="92">
        <f t="shared" ca="1" si="80"/>
        <v>817666</v>
      </c>
      <c r="N469" s="92">
        <f t="shared" si="80"/>
        <v>817666</v>
      </c>
      <c r="O469" s="92">
        <f t="shared" ca="1" si="78"/>
        <v>70.394508018609642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1161548</v>
      </c>
      <c r="M470" s="497">
        <f ca="1">M471+M472</f>
        <v>817666</v>
      </c>
      <c r="N470" s="497">
        <f>N471+N472</f>
        <v>817666</v>
      </c>
      <c r="O470" s="497">
        <f t="shared" ca="1" si="78"/>
        <v>70.394508018609642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IFERROR(__xludf.DUMMYFUNCTION("IMPORTRANGE(""https://docs.google.com/spreadsheets/d/1QqKyyYR6Q21VydFLVH3TRQUabQu_ym0Zz7PgGX0-kHA/edit?usp=sharing"",""แผน!FS68"")"),1161548)</f>
        <v>1161548</v>
      </c>
      <c r="M472" s="92">
        <f ca="1">L472+4940-348822</f>
        <v>817666</v>
      </c>
      <c r="N472" s="92">
        <f>N473+N474+N475+N476</f>
        <v>817666</v>
      </c>
      <c r="O472" s="92">
        <f t="shared" ca="1" si="78"/>
        <v>70.394508018609642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151800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473000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142580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7432+42854</f>
        <v>50286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IFERROR(__xludf.DUMMYFUNCTION("IMPORTRANGE(""https://docs.google.com/spreadsheets/d/1QqKyyYR6Q21VydFLVH3TRQUabQu_ym0Zz7PgGX0-kHA/edit?usp=sharing"",""แผน!FY68"")"),1170)</f>
        <v>1170</v>
      </c>
      <c r="J483" s="214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IFERROR(__xludf.DUMMYFUNCTION("IMPORTRANGE(""https://docs.google.com/spreadsheets/d/1QqKyyYR6Q21VydFLVH3TRQUabQu_ym0Zz7PgGX0-kHA/edit?usp=sharing"",""แผน!FZ68"")"),117)</f>
        <v>117</v>
      </c>
      <c r="J485" s="214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IFERROR(__xludf.DUMMYFUNCTION("IMPORTRANGE(""https://docs.google.com/spreadsheets/d/1QqKyyYR6Q21VydFLVH3TRQUabQu_ym0Zz7PgGX0-kHA/edit?usp=sharing"",""แผน!GA68"")"),130)</f>
        <v>130</v>
      </c>
      <c r="J487" s="214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IFERROR(__xludf.DUMMYFUNCTION("IMPORTRANGE(""https://docs.google.com/spreadsheets/d/1QqKyyYR6Q21VydFLVH3TRQUabQu_ym0Zz7PgGX0-kHA/edit?usp=sharing"",""แผน!GB68"")"),13)</f>
        <v>13</v>
      </c>
      <c r="J489" s="214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IFERROR(__xludf.DUMMYFUNCTION("IMPORTRANGE(""https://docs.google.com/spreadsheets/d/1QqKyyYR6Q21VydFLVH3TRQUabQu_ym0Zz7PgGX0-kHA/edit?usp=sharing"",""แผน!GC68"")"),1)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IFERROR(__xludf.DUMMYFUNCTION("IMPORTRANGE(""https://docs.google.com/spreadsheets/d/1QqKyyYR6Q21VydFLVH3TRQUabQu_ym0Zz7PgGX0-kHA/edit?usp=sharing"",""แผน!FY68"")"),1170)</f>
        <v>1170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IFERROR(__xludf.DUMMYFUNCTION("IMPORTRANGE(""https://docs.google.com/spreadsheets/d/1QqKyyYR6Q21VydFLVH3TRQUabQu_ym0Zz7PgGX0-kHA/edit?usp=sharing"",""แผน!GA68"")"),130)</f>
        <v>130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IFERROR(__xludf.DUMMYFUNCTION("IMPORTRANGE(""https://docs.google.com/spreadsheets/d/1QqKyyYR6Q21VydFLVH3TRQUabQu_ym0Zz7PgGX0-kHA/edit?usp=sharing"",""แผน!GQ68"")"),0)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IFERROR(__xludf.DUMMYFUNCTION("IMPORTRANGE(""https://docs.google.com/spreadsheets/d/1QqKyyYR6Q21VydFLVH3TRQUabQu_ym0Zz7PgGX0-kHA/edit?usp=sharing"",""แผน!GV68"")"),0)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IFERROR(__xludf.DUMMYFUNCTION("IMPORTRANGE(""https://docs.google.com/spreadsheets/d/1QqKyyYR6Q21VydFLVH3TRQUabQu_ym0Zz7PgGX0-kHA/edit?usp=sharing"",""แผน!GW68"")"),0)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IFERROR(__xludf.DUMMYFUNCTION("IMPORTRANGE(""https://docs.google.com/spreadsheets/d/1QqKyyYR6Q21VydFLVH3TRQUabQu_ym0Zz7PgGX0-kHA/edit?usp=sharing"",""แผน!GX68"")"),0)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IFERROR(__xludf.DUMMYFUNCTION("IMPORTRANGE(""https://docs.google.com/spreadsheets/d/1QqKyyYR6Q21VydFLVH3TRQUabQu_ym0Zz7PgGX0-kHA/edit?usp=sharing"",""แผน!GY68"")"),0)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IFERROR(__xludf.DUMMYFUNCTION("IMPORTRANGE(""https://docs.google.com/spreadsheets/d/1QqKyyYR6Q21VydFLVH3TRQUabQu_ym0Zz7PgGX0-kHA/edit?usp=sharing"",""แผน!GZ68"")"),0)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36182.29</v>
      </c>
      <c r="J543" s="682">
        <f>J559</f>
        <v>36185.962499999994</v>
      </c>
      <c r="K543" s="683">
        <f t="shared" ca="1" si="87"/>
        <v>100.01014999327018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453682</v>
      </c>
      <c r="M544" s="154">
        <f ca="1">M545+M546</f>
        <v>450550.18</v>
      </c>
      <c r="N544" s="154">
        <f>N545+N546</f>
        <v>450550.18</v>
      </c>
      <c r="O544" s="154">
        <f t="shared" ref="O544:O549" ca="1" si="88">IF(L544&gt;0,N544*100/L544,0)</f>
        <v>99.309688283864034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453682</v>
      </c>
      <c r="M546" s="92">
        <f ca="1">M549+M556</f>
        <v>450550.18</v>
      </c>
      <c r="N546" s="92">
        <f>N549+N556</f>
        <v>450550.18</v>
      </c>
      <c r="O546" s="92">
        <f t="shared" ca="1" si="88"/>
        <v>99.309688283864034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453682</v>
      </c>
      <c r="M547" s="497">
        <f ca="1">M548+M549</f>
        <v>450550.18</v>
      </c>
      <c r="N547" s="497">
        <f>N548+N549</f>
        <v>450550.18</v>
      </c>
      <c r="O547" s="497">
        <f t="shared" ca="1" si="88"/>
        <v>99.309688283864034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IFERROR(__xludf.DUMMYFUNCTION("IMPORTRANGE(""https://docs.google.com/spreadsheets/d/1QqKyyYR6Q21VydFLVH3TRQUabQu_ym0Zz7PgGX0-kHA/edit?usp=sharing"",""แผน!HB68"")"),453682)</f>
        <v>453682</v>
      </c>
      <c r="M549" s="92">
        <f ca="1">L549-3131.82</f>
        <v>450550.18</v>
      </c>
      <c r="N549" s="92">
        <f>N550+N551+N552+N553+N554</f>
        <v>450550.18</v>
      </c>
      <c r="O549" s="92">
        <f t="shared" ca="1" si="88"/>
        <v>99.309688283864034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142146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308404.18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36182.29</v>
      </c>
      <c r="J559" s="703">
        <f>J576</f>
        <v>36185.962499999994</v>
      </c>
      <c r="K559" s="672">
        <f ca="1">IF(I559&gt;0,J559*100/I559,0)</f>
        <v>100.01014999327018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IFERROR(__xludf.DUMMYFUNCTION("IMPORTRANGE(""https://docs.google.com/spreadsheets/d/1QqKyyYR6Q21VydFLVH3TRQUabQu_ym0Zz7PgGX0-kHA/edit?usp=sharing"",""แผน!HH68"")"),36182.29)</f>
        <v>36182.29</v>
      </c>
      <c r="J560" s="192">
        <f>J562+J564+J566</f>
        <v>36182.370000000003</v>
      </c>
      <c r="K560" s="410">
        <f ca="1">IF(I560&gt;0,J560*100/I560,0)</f>
        <v>100.00022110264443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IFERROR(__xludf.DUMMYFUNCTION("IMPORTRANGE(""https://docs.google.com/spreadsheets/d/1QqKyyYR6Q21VydFLVH3TRQUabQu_ym0Zz7PgGX0-kHA/edit?usp=sharing"",""แผน!HG68"")"),3060)</f>
        <v>3060</v>
      </c>
      <c r="J561" s="192">
        <f>J563+J565+J567</f>
        <v>3060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24667.96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2086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11033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937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481.41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37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IFERROR(__xludf.DUMMYFUNCTION("IMPORTRANGE(""https://docs.google.com/spreadsheets/d/1QqKyyYR6Q21VydFLVH3TRQUabQu_ym0Zz7PgGX0-kHA/edit?usp=sharing"",""แผน!HH68"")"),36182.29)</f>
        <v>36182.29</v>
      </c>
      <c r="J568" s="676">
        <f>J570+J572+J574</f>
        <v>36182.44</v>
      </c>
      <c r="K568" s="410">
        <f ca="1">IF(I568&gt;0,J568*100/I568,0)</f>
        <v>100.00041456745828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IFERROR(__xludf.DUMMYFUNCTION("IMPORTRANGE(""https://docs.google.com/spreadsheets/d/1QqKyyYR6Q21VydFLVH3TRQUabQu_ym0Zz7PgGX0-kHA/edit?usp=sharing"",""แผน!HG68"")"),3060)</f>
        <v>3060</v>
      </c>
      <c r="J569" s="676">
        <f>J571+J573+J575</f>
        <v>3060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24641.48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2085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10990.31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933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550.65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42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IFERROR(__xludf.DUMMYFUNCTION("IMPORTRANGE(""https://docs.google.com/spreadsheets/d/1QqKyyYR6Q21VydFLVH3TRQUabQu_ym0Zz7PgGX0-kHA/edit?usp=sharing"",""แผน!HH68"")"),36182.29)</f>
        <v>36182.29</v>
      </c>
      <c r="J576" s="676">
        <f>J578+J580+J582+J588+J590</f>
        <v>36185.962499999994</v>
      </c>
      <c r="K576" s="410">
        <f ca="1">IF(I576&gt;0,J576*100/I576,0)</f>
        <v>100.01014999327018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IFERROR(__xludf.DUMMYFUNCTION("IMPORTRANGE(""https://docs.google.com/spreadsheets/d/1QqKyyYR6Q21VydFLVH3TRQUabQu_ym0Zz7PgGX0-kHA/edit?usp=sharing"",""แผน!HG68"")"),3060)</f>
        <v>3060</v>
      </c>
      <c r="J577" s="676">
        <f>J579+J581+J583+J589+J591</f>
        <v>3060</v>
      </c>
      <c r="K577" s="410">
        <f ca="1">IF(I577&gt;0,J577*100/I577,0)</f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29307.702499999999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2425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111.52249999999999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5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1346.76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92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1322.6025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91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24.157499999999999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1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5419.9775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538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7807.08</v>
      </c>
      <c r="J592" s="703">
        <f>J593</f>
        <v>7807</v>
      </c>
      <c r="K592" s="672">
        <f ca="1">IF(I592&gt;0,J592*100/I592,0)</f>
        <v>99.998975289096563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2">
        <f>J595+J603+J609</f>
        <v>7807</v>
      </c>
      <c r="K593" s="410">
        <f ca="1">IF(I593&gt;0,J593*100/I593,0)</f>
        <v>99.998975289096563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IFERROR(__xludf.DUMMYFUNCTION("IMPORTRANGE(""https://docs.google.com/spreadsheets/d/1QqKyyYR6Q21VydFLVH3TRQUabQu_ym0Zz7PgGX0-kHA/edit?usp=sharing"",""แผน!HI68"")"),361)</f>
        <v>361</v>
      </c>
      <c r="J594" s="192">
        <f>J596+J604+J610</f>
        <v>361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7393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343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4793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225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2600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118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414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18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309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13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105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5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>J622+J624+J626</f>
        <v>5</v>
      </c>
      <c r="K620" s="724">
        <f ca="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>J623+J625+J627</f>
        <v>8</v>
      </c>
      <c r="K621" s="724">
        <f ca="1">IF(I621&gt;0,J621*100/I621,0)</f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1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1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4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7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70</v>
      </c>
      <c r="J628" s="736">
        <f ca="1">J651</f>
        <v>88</v>
      </c>
      <c r="K628" s="737">
        <f ca="1">IF(I628&gt;0,J628*100/I628,0)</f>
        <v>125.71428571428571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341770</v>
      </c>
      <c r="M629" s="194">
        <f ca="1">M630+M631</f>
        <v>290923.58999999997</v>
      </c>
      <c r="N629" s="194">
        <f>N630+N631</f>
        <v>290923.58999999997</v>
      </c>
      <c r="O629" s="194">
        <f t="shared" ref="O629:O634" ca="1" si="90">IF(L629&gt;0,N629*100/L629,0)</f>
        <v>85.122623401702896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341770</v>
      </c>
      <c r="M631" s="92">
        <f t="shared" ca="1" si="92"/>
        <v>290923.58999999997</v>
      </c>
      <c r="N631" s="92">
        <f t="shared" si="92"/>
        <v>290923.58999999997</v>
      </c>
      <c r="O631" s="92">
        <f t="shared" ca="1" si="90"/>
        <v>85.122623401702896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341770</v>
      </c>
      <c r="M632" s="497">
        <f ca="1">M633+M634</f>
        <v>290923.58999999997</v>
      </c>
      <c r="N632" s="497">
        <f>N633+N634</f>
        <v>290923.58999999997</v>
      </c>
      <c r="O632" s="497">
        <f t="shared" ca="1" si="90"/>
        <v>85.122623401702896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IFERROR(__xludf.DUMMYFUNCTION("IMPORTRANGE(""https://docs.google.com/spreadsheets/d/1QqKyyYR6Q21VydFLVH3TRQUabQu_ym0Zz7PgGX0-kHA/edit?usp=sharing"",""แผน!HN68"")"),341770)</f>
        <v>341770</v>
      </c>
      <c r="M634" s="92">
        <f ca="1">L634-50846.41</f>
        <v>290923.58999999997</v>
      </c>
      <c r="N634" s="92">
        <f>N635+N636+N637+N638</f>
        <v>290923.58999999997</v>
      </c>
      <c r="O634" s="92">
        <f t="shared" ca="1" si="90"/>
        <v>85.122623401702896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143000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185345.41-37421.82</f>
        <v>147923.59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IFERROR(__xludf.DUMMYFUNCTION("IMPORTRANGE(""https://docs.google.com/spreadsheets/d/1QqKyyYR6Q21VydFLVH3TRQUabQu_ym0Zz7PgGX0-kHA/edit?usp=sharing"",""แผน!HR68"")"),0)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IFERROR(__xludf.DUMMYFUNCTION("IMPORTRANGE(""https://docs.google.com/spreadsheets/d/1QqKyyYR6Q21VydFLVH3TRQUabQu_ym0Zz7PgGX0-kHA/edit?usp=sharing"",""แผน!HR68"")"),0)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IFERROR(__xludf.DUMMYFUNCTION("IMPORTRANGE(""https://docs.google.com/spreadsheets/d/1XWAQStnk-4SwqDmLtmXYiTMKHgktTP8We1SCoS47DrQ/edit?usp=sharing"",""จัดที่ดิน!AS68"")"),101)</f>
        <v>101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IFERROR(__xludf.DUMMYFUNCTION("IMPORTRANGE(""https://docs.google.com/spreadsheets/d/1XWAQStnk-4SwqDmLtmXYiTMKHgktTP8We1SCoS47DrQ/edit?usp=sharing"",""จัดที่ดิน!AT68"")"),54.26)</f>
        <v>54.26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IFERROR(__xludf.DUMMYFUNCTION("IMPORTRANGE(""https://docs.google.com/spreadsheets/d/1QqKyyYR6Q21VydFLVH3TRQUabQu_ym0Zz7PgGX0-kHA/edit?usp=sharing"",""แผน!HS68"")"),70)</f>
        <v>70</v>
      </c>
      <c r="J647" s="269">
        <f ca="1">IFERROR(__xludf.DUMMYFUNCTION("IMPORTRANGE(""https://docs.google.com/spreadsheets/d/1XWAQStnk-4SwqDmLtmXYiTMKHgktTP8We1SCoS47DrQ/edit?usp=sharing"",""จัดที่ดิน!AU68"")"),90)</f>
        <v>90</v>
      </c>
      <c r="K647" s="162">
        <f t="shared" ca="1" si="93"/>
        <v>128.57142857142858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IFERROR(__xludf.DUMMYFUNCTION("IMPORTRANGE(""https://docs.google.com/spreadsheets/d/1XWAQStnk-4SwqDmLtmXYiTMKHgktTP8We1SCoS47DrQ/edit?usp=sharing"",""จัดที่ดิน!AV68"")"),47.94)</f>
        <v>47.94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IFERROR(__xludf.DUMMYFUNCTION("IMPORTRANGE(""https://docs.google.com/spreadsheets/d/1QqKyyYR6Q21VydFLVH3TRQUabQu_ym0Zz7PgGX0-kHA/edit?usp=sharing"",""แผน!HS68"")"),70)</f>
        <v>70</v>
      </c>
      <c r="J649" s="269">
        <f ca="1">IFERROR(__xludf.DUMMYFUNCTION("IMPORTRANGE(""https://docs.google.com/spreadsheets/d/1XWAQStnk-4SwqDmLtmXYiTMKHgktTP8We1SCoS47DrQ/edit?usp=sharing"",""จัดที่ดิน!AW68"")"),88)</f>
        <v>88</v>
      </c>
      <c r="K649" s="162">
        <f t="shared" ca="1" si="93"/>
        <v>125.71428571428571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IFERROR(__xludf.DUMMYFUNCTION("IMPORTRANGE(""https://docs.google.com/spreadsheets/d/1XWAQStnk-4SwqDmLtmXYiTMKHgktTP8We1SCoS47DrQ/edit?usp=sharing"",""จัดที่ดิน!AX68"")"),45.54)</f>
        <v>45.54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IFERROR(__xludf.DUMMYFUNCTION("IMPORTRANGE(""https://docs.google.com/spreadsheets/d/1QqKyyYR6Q21VydFLVH3TRQUabQu_ym0Zz7PgGX0-kHA/edit?usp=sharing"",""แผน!HS68"")"),70)</f>
        <v>70</v>
      </c>
      <c r="J651" s="269">
        <f ca="1">IFERROR(__xludf.DUMMYFUNCTION("IMPORTRANGE(""https://docs.google.com/spreadsheets/d/1XWAQStnk-4SwqDmLtmXYiTMKHgktTP8We1SCoS47DrQ/edit?usp=sharing"",""จัดที่ดิน!AY68"")"),88)</f>
        <v>88</v>
      </c>
      <c r="K651" s="162">
        <f t="shared" ca="1" si="93"/>
        <v>125.71428571428571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IFERROR(__xludf.DUMMYFUNCTION("IMPORTRANGE(""https://docs.google.com/spreadsheets/d/1XWAQStnk-4SwqDmLtmXYiTMKHgktTP8We1SCoS47DrQ/edit?usp=sharing"",""จัดที่ดิน!AZ68"")"),46.51)</f>
        <v>46.51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11000</v>
      </c>
      <c r="M655" s="194">
        <f ca="1">M656+M657</f>
        <v>5700</v>
      </c>
      <c r="N655" s="194">
        <f>N656+N657</f>
        <v>5700</v>
      </c>
      <c r="O655" s="194">
        <f t="shared" ref="O655:O660" ca="1" si="94">IF(L655&gt;0,N655*100/L655,0)</f>
        <v>51.81818181818182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11000</v>
      </c>
      <c r="M657" s="92">
        <f t="shared" ca="1" si="96"/>
        <v>5700</v>
      </c>
      <c r="N657" s="92">
        <f t="shared" si="96"/>
        <v>5700</v>
      </c>
      <c r="O657" s="92">
        <f t="shared" ca="1" si="94"/>
        <v>51.81818181818182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11000</v>
      </c>
      <c r="M658" s="497">
        <f ca="1">M659+M660</f>
        <v>5700</v>
      </c>
      <c r="N658" s="497">
        <f>N659+N660</f>
        <v>5700</v>
      </c>
      <c r="O658" s="497">
        <f t="shared" ca="1" si="94"/>
        <v>51.81818181818182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IFERROR(__xludf.DUMMYFUNCTION("IMPORTRANGE(""https://docs.google.com/spreadsheets/d/1QqKyyYR6Q21VydFLVH3TRQUabQu_ym0Zz7PgGX0-kHA/edit?usp=sharing"",""แผน!HV68"")"),11000)</f>
        <v>11000</v>
      </c>
      <c r="M660" s="92">
        <f ca="1">L660-5300</f>
        <v>5700</v>
      </c>
      <c r="N660" s="92">
        <f>N661+N662+N663+N664</f>
        <v>5700</v>
      </c>
      <c r="O660" s="92">
        <f t="shared" ca="1" si="94"/>
        <v>51.81818181818182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5700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IFERROR(__xludf.DUMMYFUNCTION("IMPORTRANGE(""https://docs.google.com/spreadsheets/d/1QqKyyYR6Q21VydFLVH3TRQUabQu_ym0Zz7PgGX0-kHA/edit?usp=sharing"",""แผน!HZ68"")"),5)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IFERROR(__xludf.DUMMYFUNCTION("IMPORTRANGE(""https://docs.google.com/spreadsheets/d/1QqKyyYR6Q21VydFLVH3TRQUabQu_ym0Zz7PgGX0-kHA/edit?usp=sharing"",""แผน!HZ68"")"),5)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34.4375</v>
      </c>
      <c r="K672" s="497">
        <f ca="1">IF(I$669&gt;0,J672*100/I$669,0)</f>
        <v>68.875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34.4375</v>
      </c>
      <c r="K673" s="497">
        <f ca="1">IF(I$669&gt;0,J673*100/I$669,0)</f>
        <v>68.875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/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21820</v>
      </c>
      <c r="M685" s="194">
        <f ca="1">M686+M687</f>
        <v>21820</v>
      </c>
      <c r="N685" s="194">
        <f>N686+N687</f>
        <v>21820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21820</v>
      </c>
      <c r="M687" s="92">
        <f t="shared" ca="1" si="97"/>
        <v>21820</v>
      </c>
      <c r="N687" s="92">
        <f t="shared" si="97"/>
        <v>21820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21820</v>
      </c>
      <c r="M688" s="497">
        <f ca="1">M689+M690</f>
        <v>21820</v>
      </c>
      <c r="N688" s="497">
        <f>N689+N690</f>
        <v>21820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IFERROR(__xludf.DUMMYFUNCTION("IMPORTRANGE(""https://docs.google.com/spreadsheets/d/1QqKyyYR6Q21VydFLVH3TRQUabQu_ym0Zz7PgGX0-kHA/edit?usp=sharing"",""แผน!HW68"")"),21820)</f>
        <v>21820</v>
      </c>
      <c r="M690" s="92">
        <f ca="1">L690</f>
        <v>21820</v>
      </c>
      <c r="N690" s="92">
        <f>N691+N692+N693+N694</f>
        <v>21820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21820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69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69">
        <f ca="1">IFERROR(__xludf.DUMMYFUNCTION("IMPORTRANGE(""https://docs.google.com/spreadsheets/d/1XWAQStnk-4SwqDmLtmXYiTMKHgktTP8We1SCoS47DrQ/edit?usp=sharing"",""จัดที่ดิน!BD68"")"),0)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568</v>
      </c>
      <c r="K701" s="194">
        <f ca="1">IF(I701&gt;0,J701*100/I701,0)</f>
        <v>103.27272727272727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37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38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4">
        <v>386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14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14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4">
        <v>182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147</v>
      </c>
      <c r="K708" s="194">
        <f ca="1">IF(I708&gt;0,J708*100/I708,0)</f>
        <v>147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4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147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20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20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147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IFERROR(__xludf.DUMMYFUNCTION("IMPORTRANGE(""https://docs.google.com/spreadsheets/d/1XWAQStnk-4SwqDmLtmXYiTMKHgktTP8We1SCoS47DrQ/edit?usp=sharing"",""จัดที่ดิน!BF68"")"),30)</f>
        <v>30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IFERROR(__xludf.DUMMYFUNCTION("IMPORTRANGE(""https://docs.google.com/spreadsheets/d/1XWAQStnk-4SwqDmLtmXYiTMKHgktTP8We1SCoS47DrQ/edit?usp=sharing"",""จัดที่ดิน!BG68"")"),32)</f>
        <v>32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69">
        <f ca="1">IFERROR(__xludf.DUMMYFUNCTION("IMPORTRANGE(""https://docs.google.com/spreadsheets/d/1XWAQStnk-4SwqDmLtmXYiTMKHgktTP8We1SCoS47DrQ/edit?usp=sharing"",""จัดที่ดิน!BH68"")"),518)</f>
        <v>518</v>
      </c>
      <c r="K720" s="497">
        <f ca="1">IF(I720&gt;0,J720*100/I720,0)</f>
        <v>345.33333333333331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21</v>
      </c>
      <c r="K721" s="194">
        <f ca="1">IF(I721&gt;0,J721*100/I721,0)</f>
        <v>210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292.48749999999995</v>
      </c>
      <c r="K722" s="194">
        <f ca="1">IF(I722&gt;0,J722*100/I722,0)</f>
        <v>584.97499999999991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69">
        <f ca="1">IFERROR(__xludf.DUMMYFUNCTION("IMPORTRANGE(""https://docs.google.com/spreadsheets/d/1XWAQStnk-4SwqDmLtmXYiTMKHgktTP8We1SCoS47DrQ/edit?usp=sharing"",""จัดที่ดิน!BM68"")"),18)</f>
        <v>18</v>
      </c>
      <c r="K723" s="497">
        <f ca="1">IF(I723&gt;0,J723*100/I723,0)</f>
        <v>180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IFERROR(__xludf.DUMMYFUNCTION("IMPORTRANGE(""https://docs.google.com/spreadsheets/d/1XWAQStnk-4SwqDmLtmXYiTMKHgktTP8We1SCoS47DrQ/edit?usp=sharing"",""จัดที่ดิน!BN68"")"),20)</f>
        <v>20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69">
        <f ca="1">IFERROR(__xludf.DUMMYFUNCTION("IMPORTRANGE(""https://docs.google.com/spreadsheets/d/1XWAQStnk-4SwqDmLtmXYiTMKHgktTP8We1SCoS47DrQ/edit?usp=sharing"",""จัดที่ดิน!BO68"")"),275.6425)</f>
        <v>275.64249999999998</v>
      </c>
      <c r="K725" s="497">
        <f ca="1">IF(I725&gt;0,J725*100/I725,0)</f>
        <v>551.28499999999997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69">
        <f ca="1">IFERROR(__xludf.DUMMYFUNCTION("IMPORTRANGE(""https://docs.google.com/spreadsheets/d/1XWAQStnk-4SwqDmLtmXYiTMKHgktTP8We1SCoS47DrQ/edit?usp=sharing"",""จัดที่ดิน!BR68"")"),3)</f>
        <v>3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IFERROR(__xludf.DUMMYFUNCTION("IMPORTRANGE(""https://docs.google.com/spreadsheets/d/1XWAQStnk-4SwqDmLtmXYiTMKHgktTP8We1SCoS47DrQ/edit?usp=sharing"",""จัดที่ดิน!BS68"")"),3)</f>
        <v>3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69">
        <f ca="1">IFERROR(__xludf.DUMMYFUNCTION("IMPORTRANGE(""https://docs.google.com/spreadsheets/d/1XWAQStnk-4SwqDmLtmXYiTMKHgktTP8We1SCoS47DrQ/edit?usp=sharing"",""จัดที่ดิน!BT68"")"),16.845)</f>
        <v>16.844999999999999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4">
        <f ca="1">IF(I729&gt;0,J729*100/I729,0)</f>
        <v>300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IFERROR(__xludf.DUMMYFUNCTION("IMPORTRANGE(""https://docs.google.com/spreadsheets/d/1QqKyyYR6Q21VydFLVH3TRQUabQu_ym0Zz7PgGX0-kHA/edit?usp=sharing"",""แผน!JN68"")"),0)</f>
        <v>0</v>
      </c>
      <c r="J800" s="183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69">
        <f ca="1">IFERROR(__xludf.DUMMYFUNCTION("IMPORTRANGE(""https://docs.google.com/spreadsheets/d/19vJNZY_5yjcGF2XGBMNZRCAIB0Kwfpjp8YEOfu-bneM/edit?usp=sharing"",""งานกองทุน!F68"")"),10150055.62)</f>
        <v>10150055.619999999</v>
      </c>
      <c r="K821" s="497">
        <f t="shared" ref="K821:K828" ca="1" si="113">IF(I821&gt;0,J821*100/I821,0)</f>
        <v>90.926206784009565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IFERROR(__xludf.DUMMYFUNCTION("IMPORTRANGE(""https://docs.google.com/spreadsheets/d/19vJNZY_5yjcGF2XGBMNZRCAIB0Kwfpjp8YEOfu-bneM/edit?usp=sharing"",""งานกองทุน!C68"")"),357)</f>
        <v>357</v>
      </c>
      <c r="J822" s="269">
        <f ca="1">IFERROR(__xludf.DUMMYFUNCTION("IMPORTRANGE(""https://docs.google.com/spreadsheets/d/19vJNZY_5yjcGF2XGBMNZRCAIB0Kwfpjp8YEOfu-bneM/edit?usp=sharing"",""งานกองทุน!E68"")"),335)</f>
        <v>335</v>
      </c>
      <c r="K822" s="497">
        <f t="shared" ca="1" si="113"/>
        <v>93.837535014005596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69">
        <f ca="1">IFERROR(__xludf.DUMMYFUNCTION("IMPORTRANGE(""https://docs.google.com/spreadsheets/d/19vJNZY_5yjcGF2XGBMNZRCAIB0Kwfpjp8YEOfu-bneM/edit?usp=sharing"",""งานกองทุน!K68"")"),954972.09)</f>
        <v>954972.09</v>
      </c>
      <c r="K823" s="497">
        <f t="shared" ca="1" si="113"/>
        <v>12.817739971000108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IFERROR(__xludf.DUMMYFUNCTION("IMPORTRANGE(""https://docs.google.com/spreadsheets/d/19vJNZY_5yjcGF2XGBMNZRCAIB0Kwfpjp8YEOfu-bneM/edit?usp=sharing"",""งานกองทุน!H68"")"),327)</f>
        <v>327</v>
      </c>
      <c r="J824" s="269">
        <f ca="1">IFERROR(__xludf.DUMMYFUNCTION("IMPORTRANGE(""https://docs.google.com/spreadsheets/d/19vJNZY_5yjcGF2XGBMNZRCAIB0Kwfpjp8YEOfu-bneM/edit?usp=sharing"",""งานกองทุน!J68"")"),53)</f>
        <v>53</v>
      </c>
      <c r="K824" s="497">
        <f t="shared" ca="1" si="113"/>
        <v>16.207951070336392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69">
        <f ca="1">IFERROR(__xludf.DUMMYFUNCTION("IMPORTRANGE(""https://docs.google.com/spreadsheets/d/19vJNZY_5yjcGF2XGBMNZRCAIB0Kwfpjp8YEOfu-bneM/edit?usp=sharing"",""งานกองทุน!P68"")"),2804192.1)</f>
        <v>2804192.1</v>
      </c>
      <c r="K825" s="497">
        <f t="shared" ca="1" si="113"/>
        <v>30.17337863522058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IFERROR(__xludf.DUMMYFUNCTION("IMPORTRANGE(""https://docs.google.com/spreadsheets/d/19vJNZY_5yjcGF2XGBMNZRCAIB0Kwfpjp8YEOfu-bneM/edit?usp=sharing"",""งานกองทุน!M68"")"),1224)</f>
        <v>1224</v>
      </c>
      <c r="J826" s="269">
        <f ca="1">IFERROR(__xludf.DUMMYFUNCTION("IMPORTRANGE(""https://docs.google.com/spreadsheets/d/19vJNZY_5yjcGF2XGBMNZRCAIB0Kwfpjp8YEOfu-bneM/edit?usp=sharing"",""งานกองทุน!O68"")"),646)</f>
        <v>646</v>
      </c>
      <c r="K826" s="497">
        <f t="shared" ca="1" si="113"/>
        <v>52.777777777777779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IFERROR(__xludf.DUMMYFUNCTION("IMPORTRANGE(""https://docs.google.com/spreadsheets/d/19vJNZY_5yjcGF2XGBMNZRCAIB0Kwfpjp8YEOfu-bneM/edit?usp=sharing"",""งานกองทุน!S68"")"),11230000)</f>
        <v>11230000</v>
      </c>
      <c r="J827" s="269">
        <f ca="1">IFERROR(__xludf.DUMMYFUNCTION("IMPORTRANGE(""https://docs.google.com/spreadsheets/d/19vJNZY_5yjcGF2XGBMNZRCAIB0Kwfpjp8YEOfu-bneM/edit?usp=sharing"",""งานกองทุน!U68"")"),11230000)</f>
        <v>11230000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IFERROR(__xludf.DUMMYFUNCTION("IMPORTRANGE(""https://docs.google.com/spreadsheets/d/19vJNZY_5yjcGF2XGBMNZRCAIB0Kwfpjp8YEOfu-bneM/edit?usp=sharing"",""งานกองทุน!T68"")"),339)</f>
        <v>339</v>
      </c>
      <c r="K828" s="502">
        <f t="shared" ca="1" si="113"/>
        <v>75.501113585746097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97ABC-FEB1-469A-A0B8-F708D0F952E2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358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7376590</v>
      </c>
      <c r="M8" s="21">
        <f ca="1">M9+M10</f>
        <v>7425373.8099999996</v>
      </c>
      <c r="N8" s="21">
        <f ca="1">N9+N10</f>
        <v>7491596.1099999994</v>
      </c>
      <c r="O8" s="21">
        <f t="shared" ref="O8:O16" ca="1" si="0">IF(L8&gt;0,N8*100/L8,0)</f>
        <v>101.55906875670195</v>
      </c>
      <c r="P8" s="21">
        <f t="shared" ref="P8:P16" ca="1" si="1">IF(M8&gt;0,N8*100/M8,0)</f>
        <v>100.89183792889749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7376590</v>
      </c>
      <c r="M10" s="29">
        <f t="shared" ca="1" si="2"/>
        <v>7425373.8099999996</v>
      </c>
      <c r="N10" s="29">
        <f t="shared" ca="1" si="2"/>
        <v>7491596.1099999994</v>
      </c>
      <c r="O10" s="29">
        <f t="shared" ca="1" si="0"/>
        <v>101.55906875670195</v>
      </c>
      <c r="P10" s="29">
        <f t="shared" ca="1" si="1"/>
        <v>100.89183792889749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6694990</v>
      </c>
      <c r="M11" s="497">
        <f ca="1">M12+M13</f>
        <v>6794158.5299999993</v>
      </c>
      <c r="N11" s="497">
        <f ca="1">N12+N13</f>
        <v>6794158.5299999993</v>
      </c>
      <c r="O11" s="497">
        <f t="shared" ca="1" si="0"/>
        <v>101.48123492342781</v>
      </c>
      <c r="P11" s="497">
        <f t="shared" ca="1" si="1"/>
        <v>99.999999999999986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6694990</v>
      </c>
      <c r="M13" s="92">
        <f t="shared" ca="1" si="3"/>
        <v>6794158.5299999993</v>
      </c>
      <c r="N13" s="92">
        <f t="shared" ca="1" si="3"/>
        <v>6794158.5299999993</v>
      </c>
      <c r="O13" s="92">
        <f t="shared" ca="1" si="0"/>
        <v>101.48123492342781</v>
      </c>
      <c r="P13" s="92">
        <f t="shared" ca="1" si="1"/>
        <v>99.999999999999986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681600</v>
      </c>
      <c r="M14" s="497">
        <f ca="1">M15+M16</f>
        <v>631215.28</v>
      </c>
      <c r="N14" s="497">
        <f ca="1">N15+N16</f>
        <v>697437.58</v>
      </c>
      <c r="O14" s="497">
        <f t="shared" ca="1" si="0"/>
        <v>102.32358861502347</v>
      </c>
      <c r="P14" s="497">
        <f t="shared" ca="1" si="1"/>
        <v>110.49123842502671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681600</v>
      </c>
      <c r="M16" s="51">
        <f t="shared" ca="1" si="4"/>
        <v>631215.28</v>
      </c>
      <c r="N16" s="51">
        <f t="shared" ca="1" si="4"/>
        <v>697437.58</v>
      </c>
      <c r="O16" s="51">
        <f t="shared" ca="1" si="0"/>
        <v>102.32358861502347</v>
      </c>
      <c r="P16" s="51">
        <f t="shared" ca="1" si="1"/>
        <v>110.49123842502671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5134563</v>
      </c>
      <c r="M18" s="21">
        <f ca="1">M19+M20</f>
        <v>5282832.3899999997</v>
      </c>
      <c r="N18" s="21">
        <f ca="1">N19+N20</f>
        <v>5349054.6899999995</v>
      </c>
      <c r="O18" s="21">
        <f t="shared" ref="O18:O26" ca="1" si="5">IF(L18&gt;0,N18*100/L18,0)</f>
        <v>104.17740886614887</v>
      </c>
      <c r="P18" s="21">
        <f t="shared" ref="P18:P26" ca="1" si="6">IF(M18&gt;0,N18*100/M18,0)</f>
        <v>101.25353778259847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5134563</v>
      </c>
      <c r="M20" s="29">
        <f t="shared" ca="1" si="7"/>
        <v>5282832.3899999997</v>
      </c>
      <c r="N20" s="29">
        <f t="shared" ca="1" si="7"/>
        <v>5349054.6899999995</v>
      </c>
      <c r="O20" s="29">
        <f t="shared" ca="1" si="5"/>
        <v>104.17740886614887</v>
      </c>
      <c r="P20" s="29">
        <f t="shared" ca="1" si="6"/>
        <v>101.25353778259847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4452963</v>
      </c>
      <c r="M21" s="497">
        <f ca="1">M22+M23</f>
        <v>4651617.1099999994</v>
      </c>
      <c r="N21" s="497">
        <f ca="1">N22+N23</f>
        <v>4651617.1099999994</v>
      </c>
      <c r="O21" s="497">
        <f t="shared" ca="1" si="5"/>
        <v>104.46116686799327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4452963</v>
      </c>
      <c r="M23" s="92">
        <f t="shared" ca="1" si="8"/>
        <v>4651617.1099999994</v>
      </c>
      <c r="N23" s="92">
        <f t="shared" ca="1" si="8"/>
        <v>4651617.1099999994</v>
      </c>
      <c r="O23" s="92">
        <f t="shared" ca="1" si="5"/>
        <v>104.46116686799327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681600</v>
      </c>
      <c r="M24" s="497">
        <f ca="1">M25+M26</f>
        <v>631215.28</v>
      </c>
      <c r="N24" s="497">
        <f ca="1">N25+N26</f>
        <v>697437.58</v>
      </c>
      <c r="O24" s="497">
        <f t="shared" ca="1" si="5"/>
        <v>102.32358861502347</v>
      </c>
      <c r="P24" s="497">
        <f t="shared" ca="1" si="6"/>
        <v>110.49123842502671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681600</v>
      </c>
      <c r="M26" s="51">
        <f t="shared" ca="1" si="9"/>
        <v>631215.28</v>
      </c>
      <c r="N26" s="51">
        <f t="shared" ca="1" si="9"/>
        <v>697437.58</v>
      </c>
      <c r="O26" s="51">
        <f t="shared" ca="1" si="5"/>
        <v>102.32358861502347</v>
      </c>
      <c r="P26" s="51">
        <f t="shared" ca="1" si="6"/>
        <v>110.49123842502671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2242027</v>
      </c>
      <c r="M28" s="21">
        <f ca="1">M29+M30</f>
        <v>2142541.42</v>
      </c>
      <c r="N28" s="21">
        <f>N29+N30</f>
        <v>2142541.42</v>
      </c>
      <c r="O28" s="21">
        <f t="shared" ref="O28:O37" ca="1" si="10">IF(L28&gt;0,N28*100/L28,0)</f>
        <v>95.562694829277262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2242027</v>
      </c>
      <c r="M30" s="29">
        <f t="shared" ca="1" si="12"/>
        <v>2142541.42</v>
      </c>
      <c r="N30" s="29">
        <f t="shared" si="12"/>
        <v>2142541.42</v>
      </c>
      <c r="O30" s="29">
        <f t="shared" ca="1" si="10"/>
        <v>95.562694829277262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2242027</v>
      </c>
      <c r="M31" s="497">
        <f ca="1">M32+M33</f>
        <v>2142541.42</v>
      </c>
      <c r="N31" s="497">
        <f>N32+N33</f>
        <v>2142541.42</v>
      </c>
      <c r="O31" s="497">
        <f t="shared" ca="1" si="10"/>
        <v>95.562694829277262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2242027</v>
      </c>
      <c r="M33" s="92">
        <f t="shared" ca="1" si="13"/>
        <v>2142541.42</v>
      </c>
      <c r="N33" s="92">
        <f t="shared" si="13"/>
        <v>2142541.42</v>
      </c>
      <c r="O33" s="92">
        <f t="shared" ca="1" si="10"/>
        <v>95.562694829277262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5134563</v>
      </c>
      <c r="M37" s="58">
        <f ca="1">M41+M53+M66+M88+M119+M132+M149+M165+M181+M261+M277+M298+M315+M328+M345+M389+M402</f>
        <v>5282832.3899999997</v>
      </c>
      <c r="N37" s="58">
        <f ca="1">N41+N53+N66+N88+N119+N132+N149+N165+N181+N261+N277+N298+N315+N328+N345+N389+N402</f>
        <v>5349054.6899999995</v>
      </c>
      <c r="O37" s="58">
        <f t="shared" ca="1" si="10"/>
        <v>104.17740886614887</v>
      </c>
      <c r="P37" s="58">
        <f t="shared" ca="1" si="11"/>
        <v>101.25353778259847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406723</v>
      </c>
      <c r="M41" s="84">
        <f ca="1">M42+M43</f>
        <v>491925.47</v>
      </c>
      <c r="N41" s="84">
        <f ca="1">N42+N43</f>
        <v>491925.47</v>
      </c>
      <c r="O41" s="84">
        <f t="shared" ref="O41:O49" ca="1" si="15">IF(L41&gt;0,N41*100/L41,0)</f>
        <v>120.94852516331754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406723</v>
      </c>
      <c r="M43" s="91">
        <f t="shared" ca="1" si="17"/>
        <v>491925.47</v>
      </c>
      <c r="N43" s="91">
        <f t="shared" ca="1" si="17"/>
        <v>491925.47</v>
      </c>
      <c r="O43" s="91">
        <f t="shared" ca="1" si="15"/>
        <v>120.94852516331754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406723</v>
      </c>
      <c r="M44" s="497">
        <f ca="1">M45+M46</f>
        <v>491925.47</v>
      </c>
      <c r="N44" s="497">
        <f ca="1">N45+N46</f>
        <v>491925.47</v>
      </c>
      <c r="O44" s="497">
        <f t="shared" ca="1" si="15"/>
        <v>120.94852516331754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IFERROR(__xludf.DUMMYFUNCTION("IMPORTRANGE(""https://docs.google.com/spreadsheets/d/1MeEWN-I1oV_STSDYn1IFDPWt_1FKiwhDph83XaGc0o0/edit?usp=sharing"",""งบพรบ!M69"")"),406723)</f>
        <v>406723</v>
      </c>
      <c r="M46" s="92">
        <f ca="1">IFERROR(__xludf.DUMMYFUNCTION("IMPORTRANGE(""https://docs.google.com/spreadsheets/d/1MeEWN-I1oV_STSDYn1IFDPWt_1FKiwhDph83XaGc0o0/edit?usp=sharing"",""งบพรบ!R69"")"),491925.47)</f>
        <v>491925.47</v>
      </c>
      <c r="N46" s="92">
        <f ca="1">IFERROR(__xludf.DUMMYFUNCTION("IMPORTRANGE(""https://docs.google.com/spreadsheets/d/1MeEWN-I1oV_STSDYn1IFDPWt_1FKiwhDph83XaGc0o0/edit?usp=sharing"",""งบพรบ!T69"")"),491925.47)</f>
        <v>491925.47</v>
      </c>
      <c r="O46" s="92">
        <f t="shared" ca="1" si="15"/>
        <v>120.94852516331754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IFERROR(__xludf.DUMMYFUNCTION("IMPORTRANGE(""https://docs.google.com/spreadsheets/d/1MeEWN-I1oV_STSDYn1IFDPWt_1FKiwhDph83XaGc0o0/edit?usp=sharing"",""งบพรบ!P69"")"),0)</f>
        <v>0</v>
      </c>
      <c r="M49" s="51">
        <f ca="1">IFERROR(__xludf.DUMMYFUNCTION("IMPORTRANGE(""https://docs.google.com/spreadsheets/d/1MeEWN-I1oV_STSDYn1IFDPWt_1FKiwhDph83XaGc0o0/edit?usp=sharing"",""งบพรบ!S69"")"),0)</f>
        <v>0</v>
      </c>
      <c r="N49" s="51">
        <f ca="1">IFERROR(__xludf.DUMMYFUNCTION("IMPORTRANGE(""https://docs.google.com/spreadsheets/d/1MeEWN-I1oV_STSDYn1IFDPWt_1FKiwhDph83XaGc0o0/edit?usp=sharing"",""งบพรบ!U69"")"),0)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1382600</v>
      </c>
      <c r="M53" s="115">
        <f ca="1">M54+M55</f>
        <v>1474656.92</v>
      </c>
      <c r="N53" s="115">
        <f ca="1">N54+N55</f>
        <v>1540879.22</v>
      </c>
      <c r="O53" s="115">
        <f t="shared" ref="O53:O61" ca="1" si="18">IF(L53&gt;0,N53*100/L53,0)</f>
        <v>111.44794011283089</v>
      </c>
      <c r="P53" s="115">
        <f t="shared" ref="P53:P61" ca="1" si="19">IF(M53&gt;0,N53*100/M53,0)</f>
        <v>104.49069197735837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1382600</v>
      </c>
      <c r="M55" s="122">
        <f t="shared" ca="1" si="20"/>
        <v>1474656.92</v>
      </c>
      <c r="N55" s="122">
        <f t="shared" ca="1" si="20"/>
        <v>1540879.22</v>
      </c>
      <c r="O55" s="122">
        <f t="shared" ca="1" si="18"/>
        <v>111.44794011283089</v>
      </c>
      <c r="P55" s="122">
        <f t="shared" ca="1" si="19"/>
        <v>104.49069197735837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825600</v>
      </c>
      <c r="M56" s="497">
        <f ca="1">M57+M58</f>
        <v>968041.64</v>
      </c>
      <c r="N56" s="497">
        <f ca="1">N57+N58</f>
        <v>968041.64</v>
      </c>
      <c r="O56" s="497">
        <f t="shared" ca="1" si="18"/>
        <v>117.25310562015504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IFERROR(__xludf.DUMMYFUNCTION("IMPORTRANGE(""https://docs.google.com/spreadsheets/d/1MeEWN-I1oV_STSDYn1IFDPWt_1FKiwhDph83XaGc0o0/edit?usp=sharing"",""งบพรบ!W69"")"),825600)</f>
        <v>825600</v>
      </c>
      <c r="M58" s="92">
        <f ca="1">IFERROR(__xludf.DUMMYFUNCTION("IMPORTRANGE(""https://docs.google.com/spreadsheets/d/1MeEWN-I1oV_STSDYn1IFDPWt_1FKiwhDph83XaGc0o0/edit?usp=sharing"",""งบพรบ!AB69"")"),968041.64)</f>
        <v>968041.64</v>
      </c>
      <c r="N58" s="92">
        <f ca="1">IFERROR(__xludf.DUMMYFUNCTION("IMPORTRANGE(""https://docs.google.com/spreadsheets/d/1MeEWN-I1oV_STSDYn1IFDPWt_1FKiwhDph83XaGc0o0/edit?usp=sharing"",""งบพรบ!AD69"")"),968041.64)</f>
        <v>968041.64</v>
      </c>
      <c r="O58" s="92">
        <f t="shared" ca="1" si="18"/>
        <v>117.25310562015504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557000</v>
      </c>
      <c r="M59" s="497">
        <f ca="1">M60+M61</f>
        <v>506615.28</v>
      </c>
      <c r="N59" s="497">
        <f ca="1">N60+N61</f>
        <v>572837.57999999996</v>
      </c>
      <c r="O59" s="497">
        <f t="shared" ca="1" si="18"/>
        <v>102.84337163375223</v>
      </c>
      <c r="P59" s="497">
        <f t="shared" ca="1" si="19"/>
        <v>113.07151651643825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IFERROR(__xludf.DUMMYFUNCTION("IMPORTRANGE(""https://docs.google.com/spreadsheets/d/1MeEWN-I1oV_STSDYn1IFDPWt_1FKiwhDph83XaGc0o0/edit?usp=sharing"",""งบพรบ!Z69"")"),557000)</f>
        <v>557000</v>
      </c>
      <c r="M61" s="51">
        <f ca="1">IFERROR(__xludf.DUMMYFUNCTION("IMPORTRANGE(""https://docs.google.com/spreadsheets/d/1MeEWN-I1oV_STSDYn1IFDPWt_1FKiwhDph83XaGc0o0/edit?usp=sharing"",""งบพรบ!AC69"")"),506615.28)</f>
        <v>506615.28</v>
      </c>
      <c r="N61" s="51">
        <f ca="1">IFERROR(__xludf.DUMMYFUNCTION("IMPORTRANGE(""https://docs.google.com/spreadsheets/d/1MeEWN-I1oV_STSDYn1IFDPWt_1FKiwhDph83XaGc0o0/edit?usp=sharing"",""งบพรบ!AE69"")"),572837.58)</f>
        <v>572837.57999999996</v>
      </c>
      <c r="O61" s="51">
        <f t="shared" ca="1" si="18"/>
        <v>102.84337163375223</v>
      </c>
      <c r="P61" s="51">
        <f t="shared" ca="1" si="19"/>
        <v>113.07151651643825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1</v>
      </c>
      <c r="J64" s="143">
        <f>J76</f>
        <v>1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70</v>
      </c>
      <c r="J65" s="143">
        <f>J77</f>
        <v>70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914700</v>
      </c>
      <c r="M66" s="154">
        <f ca="1">M67+M68</f>
        <v>925590</v>
      </c>
      <c r="N66" s="154">
        <f ca="1">N67+N68</f>
        <v>925590</v>
      </c>
      <c r="O66" s="154">
        <f t="shared" ref="O66:O74" ca="1" si="21">IF(L66&gt;0,N66*100/L66,0)</f>
        <v>101.19055428009183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914700</v>
      </c>
      <c r="M68" s="92">
        <f t="shared" ca="1" si="23"/>
        <v>925590</v>
      </c>
      <c r="N68" s="92">
        <f t="shared" ca="1" si="23"/>
        <v>925590</v>
      </c>
      <c r="O68" s="92">
        <f t="shared" ca="1" si="21"/>
        <v>101.19055428009183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914700</v>
      </c>
      <c r="M69" s="497">
        <f ca="1">M70+M71</f>
        <v>925590</v>
      </c>
      <c r="N69" s="497">
        <f ca="1">N70+N71</f>
        <v>925590</v>
      </c>
      <c r="O69" s="497">
        <f t="shared" ca="1" si="21"/>
        <v>101.19055428009183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IFERROR(__xludf.DUMMYFUNCTION("IMPORTRANGE(""https://docs.google.com/spreadsheets/d/1MeEWN-I1oV_STSDYn1IFDPWt_1FKiwhDph83XaGc0o0/edit?usp=sharing"",""งบพรบ!AG69"")"),914700)</f>
        <v>914700</v>
      </c>
      <c r="M71" s="92">
        <f ca="1">IFERROR(__xludf.DUMMYFUNCTION("IMPORTRANGE(""https://docs.google.com/spreadsheets/d/1MeEWN-I1oV_STSDYn1IFDPWt_1FKiwhDph83XaGc0o0/edit?usp=sharing"",""งบพรบ!AL69"")"),925590)</f>
        <v>925590</v>
      </c>
      <c r="N71" s="92">
        <f ca="1">IFERROR(__xludf.DUMMYFUNCTION("IMPORTRANGE(""https://docs.google.com/spreadsheets/d/1MeEWN-I1oV_STSDYn1IFDPWt_1FKiwhDph83XaGc0o0/edit?usp=sharing"",""งบพรบ!AN69"")"),925590)</f>
        <v>925590</v>
      </c>
      <c r="O71" s="92">
        <f t="shared" ca="1" si="21"/>
        <v>101.19055428009183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IFERROR(__xludf.DUMMYFUNCTION("IMPORTRANGE(""https://docs.google.com/spreadsheets/d/1MeEWN-I1oV_STSDYn1IFDPWt_1FKiwhDph83XaGc0o0/edit?usp=sharing"",""งบพรบ!AJ69"")"),0)</f>
        <v>0</v>
      </c>
      <c r="M74" s="92">
        <f ca="1">IFERROR(__xludf.DUMMYFUNCTION("IMPORTRANGE(""https://docs.google.com/spreadsheets/d/1MeEWN-I1oV_STSDYn1IFDPWt_1FKiwhDph83XaGc0o0/edit?usp=sharing"",""งบพรบ!AM69"")"),0)</f>
        <v>0</v>
      </c>
      <c r="N74" s="92">
        <f ca="1">IFERROR(__xludf.DUMMYFUNCTION("IMPORTRANGE(""https://docs.google.com/spreadsheets/d/1MeEWN-I1oV_STSDYn1IFDPWt_1FKiwhDph83XaGc0o0/edit?usp=sharing"",""งบพรบ!AO69"")"),0)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1</v>
      </c>
      <c r="J76" s="269">
        <f>J78+J80+J82</f>
        <v>1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70</v>
      </c>
      <c r="J77" s="269">
        <f>J79+J81+J83</f>
        <v>70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IFERROR(__xludf.DUMMYFUNCTION("IMPORTRANGE(""https://docs.google.com/spreadsheets/d/1QqKyyYR6Q21VydFLVH3TRQUabQu_ym0Zz7PgGX0-kHA/edit?usp=sharing"",""แผน!H69"")"),0)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IFERROR(__xludf.DUMMYFUNCTION("IMPORTRANGE(""https://docs.google.com/spreadsheets/d/1QqKyyYR6Q21VydFLVH3TRQUabQu_ym0Zz7PgGX0-kHA/edit?usp=sharing"",""แผน!I69"")"),0)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IFERROR(__xludf.DUMMYFUNCTION("IMPORTRANGE(""https://docs.google.com/spreadsheets/d/1QqKyyYR6Q21VydFLVH3TRQUabQu_ym0Zz7PgGX0-kHA/edit?usp=sharing"",""แผน!F69"")"),1)</f>
        <v>1</v>
      </c>
      <c r="J80" s="214">
        <v>1</v>
      </c>
      <c r="K80" s="162">
        <f t="shared" ca="1" si="24"/>
        <v>100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IFERROR(__xludf.DUMMYFUNCTION("IMPORTRANGE(""https://docs.google.com/spreadsheets/d/1QqKyyYR6Q21VydFLVH3TRQUabQu_ym0Zz7PgGX0-kHA/edit?usp=sharing"",""แผน!G69"")"),70)</f>
        <v>70</v>
      </c>
      <c r="J81" s="214">
        <v>70</v>
      </c>
      <c r="K81" s="162">
        <f t="shared" ca="1" si="24"/>
        <v>100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IFERROR(__xludf.DUMMYFUNCTION("IMPORTRANGE(""https://docs.google.com/spreadsheets/d/1QqKyyYR6Q21VydFLVH3TRQUabQu_ym0Zz7PgGX0-kHA/edit?usp=sharing"",""แผน!D69"")"),0)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IFERROR(__xludf.DUMMYFUNCTION("IMPORTRANGE(""https://docs.google.com/spreadsheets/d/1QqKyyYR6Q21VydFLVH3TRQUabQu_ym0Zz7PgGX0-kHA/edit?usp=sharing"",""แผน!E69"")"),0)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IFERROR(__xludf.DUMMYFUNCTION("IMPORTRANGE(""https://docs.google.com/spreadsheets/d/1QqKyyYR6Q21VydFLVH3TRQUabQu_ym0Zz7PgGX0-kHA/edit?usp=sharing"",""แผน!J69"")"),1)</f>
        <v>1</v>
      </c>
      <c r="J84" s="214">
        <v>1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98960</v>
      </c>
      <c r="M88" s="154">
        <f ca="1">M89+M90</f>
        <v>98960</v>
      </c>
      <c r="N88" s="154">
        <f ca="1">N89+N90</f>
        <v>98960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98960</v>
      </c>
      <c r="M90" s="92">
        <f t="shared" ca="1" si="27"/>
        <v>98960</v>
      </c>
      <c r="N90" s="92">
        <f t="shared" ca="1" si="27"/>
        <v>98960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98960</v>
      </c>
      <c r="M91" s="497">
        <f ca="1">M92+M93</f>
        <v>98960</v>
      </c>
      <c r="N91" s="497">
        <f ca="1">N92+N93</f>
        <v>98960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IFERROR(__xludf.DUMMYFUNCTION("IMPORTRANGE(""https://docs.google.com/spreadsheets/d/1MeEWN-I1oV_STSDYn1IFDPWt_1FKiwhDph83XaGc0o0/edit?usp=sharing"",""งบพรบ!AQ69"")"),98960)</f>
        <v>98960</v>
      </c>
      <c r="M93" s="92">
        <f ca="1">IFERROR(__xludf.DUMMYFUNCTION("IMPORTRANGE(""https://docs.google.com/spreadsheets/d/1MeEWN-I1oV_STSDYn1IFDPWt_1FKiwhDph83XaGc0o0/edit?usp=sharing"",""งบพรบ!AV69"")"),98960)</f>
        <v>98960</v>
      </c>
      <c r="N93" s="92">
        <f ca="1">IFERROR(__xludf.DUMMYFUNCTION("IMPORTRANGE(""https://docs.google.com/spreadsheets/d/1MeEWN-I1oV_STSDYn1IFDPWt_1FKiwhDph83XaGc0o0/edit?usp=sharing"",""งบพรบ!AX69"")"),98960)</f>
        <v>98960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IFERROR(__xludf.DUMMYFUNCTION("IMPORTRANGE(""https://docs.google.com/spreadsheets/d/1MeEWN-I1oV_STSDYn1IFDPWt_1FKiwhDph83XaGc0o0/edit?usp=sharing"",""งบพรบ!AT69"")"),0)</f>
        <v>0</v>
      </c>
      <c r="M96" s="92">
        <f ca="1">IFERROR(__xludf.DUMMYFUNCTION("IMPORTRANGE(""https://docs.google.com/spreadsheets/d/1MeEWN-I1oV_STSDYn1IFDPWt_1FKiwhDph83XaGc0o0/edit?usp=sharing"",""งบพรบ!AW69"")"),0)</f>
        <v>0</v>
      </c>
      <c r="N96" s="92">
        <f ca="1">IFERROR(__xludf.DUMMYFUNCTION("IMPORTRANGE(""https://docs.google.com/spreadsheets/d/1MeEWN-I1oV_STSDYn1IFDPWt_1FKiwhDph83XaGc0o0/edit?usp=sharing"",""งบพรบ!AY69"")"),0)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IFERROR(__xludf.DUMMYFUNCTION("IMPORTRANGE(""https://docs.google.com/spreadsheets/d/1QqKyyYR6Q21VydFLVH3TRQUabQu_ym0Zz7PgGX0-kHA/edit?usp=sharing"",""แผน!K69"")"),45)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IFERROR(__xludf.DUMMYFUNCTION("IMPORTRANGE(""https://docs.google.com/spreadsheets/d/1QqKyyYR6Q21VydFLVH3TRQUabQu_ym0Zz7PgGX0-kHA/edit?usp=sharing"",""แผน!L69"")"),15)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IFERROR(__xludf.DUMMYFUNCTION("IMPORTRANGE(""https://docs.google.com/spreadsheets/d/1QqKyyYR6Q21VydFLVH3TRQUabQu_ym0Zz7PgGX0-kHA/edit?usp=sharing"",""แผน!M69"")"),2)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IFERROR(__xludf.DUMMYFUNCTION("IMPORTRANGE(""https://docs.google.com/spreadsheets/d/1QqKyyYR6Q21VydFLVH3TRQUabQu_ym0Zz7PgGX0-kHA/edit?usp=sharing"",""แผน!N69"")"),45)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IFERROR(__xludf.DUMMYFUNCTION("IMPORTRANGE(""https://docs.google.com/spreadsheets/d/1QqKyyYR6Q21VydFLVH3TRQUabQu_ym0Zz7PgGX0-kHA/edit?usp=sharing"",""แผน!O69"")"),15)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IFERROR(__xludf.DUMMYFUNCTION("IMPORTRANGE(""https://docs.google.com/spreadsheets/d/1QqKyyYR6Q21VydFLVH3TRQUabQu_ym0Zz7PgGX0-kHA/edit?usp=sharing"",""แผน!O69"")"),15)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IFERROR(__xludf.DUMMYFUNCTION("IMPORTRANGE(""https://docs.google.com/spreadsheets/d/1QqKyyYR6Q21VydFLVH3TRQUabQu_ym0Zz7PgGX0-kHA/edit?usp=sharing"",""แผน!P69"")"),1)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IFERROR(__xludf.DUMMYFUNCTION("IMPORTRANGE(""https://docs.google.com/spreadsheets/d/1QqKyyYR6Q21VydFLVH3TRQUabQu_ym0Zz7PgGX0-kHA/edit?usp=sharing"",""แผน!P69"")"),1)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IFERROR(__xludf.DUMMYFUNCTION("IMPORTRANGE(""https://docs.google.com/spreadsheets/d/1QqKyyYR6Q21VydFLVH3TRQUabQu_ym0Zz7PgGX0-kHA/edit?usp=sharing"",""แผน!Q69"")"),1)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IFERROR(__xludf.DUMMYFUNCTION("IMPORTRANGE(""https://docs.google.com/spreadsheets/d/1QqKyyYR6Q21VydFLVH3TRQUabQu_ym0Zz7PgGX0-kHA/edit?usp=sharing"",""แผน!Q69"")"),1)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IFERROR(__xludf.DUMMYFUNCTION("IMPORTRANGE(""https://docs.google.com/spreadsheets/d/1QqKyyYR6Q21VydFLVH3TRQUabQu_ym0Zz7PgGX0-kHA/edit?usp=sharing"",""แผน!R69"")"),15)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IFERROR(__xludf.DUMMYFUNCTION("IMPORTRANGE(""https://docs.google.com/spreadsheets/d/1QqKyyYR6Q21VydFLVH3TRQUabQu_ym0Zz7PgGX0-kHA/edit?usp=sharing"",""แผน!R69"")"),15)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IFERROR(__xludf.DUMMYFUNCTION("IMPORTRANGE(""https://docs.google.com/spreadsheets/d/1QqKyyYR6Q21VydFLVH3TRQUabQu_ym0Zz7PgGX0-kHA/edit?usp=sharing"",""แผน!S69"")"),1)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IFERROR(__xludf.DUMMYFUNCTION("IMPORTRANGE(""https://docs.google.com/spreadsheets/d/1QqKyyYR6Q21VydFLVH3TRQUabQu_ym0Zz7PgGX0-kHA/edit?usp=sharing"",""แผน!T69"")"),1)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26800</v>
      </c>
      <c r="M119" s="154">
        <f ca="1">M120+M121</f>
        <v>26800</v>
      </c>
      <c r="N119" s="154">
        <f ca="1">N120+N121</f>
        <v>26800</v>
      </c>
      <c r="O119" s="154">
        <f t="shared" ref="O119:O127" ca="1" si="29">IF(L119&gt;0,N119*100/L119,0)</f>
        <v>100</v>
      </c>
      <c r="P119" s="154">
        <f t="shared" ref="P119:P127" ca="1" si="30">IF(M119&gt;0,N119*100/M119,0)</f>
        <v>100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26800</v>
      </c>
      <c r="M121" s="92">
        <f t="shared" ca="1" si="31"/>
        <v>26800</v>
      </c>
      <c r="N121" s="92">
        <f t="shared" ca="1" si="31"/>
        <v>26800</v>
      </c>
      <c r="O121" s="92">
        <f t="shared" ca="1" si="29"/>
        <v>100</v>
      </c>
      <c r="P121" s="92">
        <f t="shared" ca="1" si="30"/>
        <v>100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IFERROR(__xludf.DUMMYFUNCTION("IMPORTRANGE(""https://docs.google.com/spreadsheets/d/1MeEWN-I1oV_STSDYn1IFDPWt_1FKiwhDph83XaGc0o0/edit?usp=sharing"",""งบพรบ!BA69"")"),0)</f>
        <v>0</v>
      </c>
      <c r="M124" s="92">
        <f ca="1">IFERROR(__xludf.DUMMYFUNCTION("IMPORTRANGE(""https://docs.google.com/spreadsheets/d/1MeEWN-I1oV_STSDYn1IFDPWt_1FKiwhDph83XaGc0o0/edit?usp=sharing"",""งบพรบ!BF69"")"),0)</f>
        <v>0</v>
      </c>
      <c r="N124" s="92">
        <f ca="1">IFERROR(__xludf.DUMMYFUNCTION("IMPORTRANGE(""https://docs.google.com/spreadsheets/d/1MeEWN-I1oV_STSDYn1IFDPWt_1FKiwhDph83XaGc0o0/edit?usp=sharing"",""งบพรบ!BH69"")"),0)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26800</v>
      </c>
      <c r="M125" s="497">
        <f ca="1">M126+M127</f>
        <v>26800</v>
      </c>
      <c r="N125" s="497">
        <f ca="1">N126+N127</f>
        <v>26800</v>
      </c>
      <c r="O125" s="497">
        <f t="shared" ca="1" si="29"/>
        <v>100</v>
      </c>
      <c r="P125" s="497">
        <f t="shared" ca="1" si="30"/>
        <v>100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IFERROR(__xludf.DUMMYFUNCTION("IMPORTRANGE(""https://docs.google.com/spreadsheets/d/1MeEWN-I1oV_STSDYn1IFDPWt_1FKiwhDph83XaGc0o0/edit?usp=sharing"",""งบพรบ!BD69"")"),26800)</f>
        <v>26800</v>
      </c>
      <c r="M127" s="92">
        <f ca="1">IFERROR(__xludf.DUMMYFUNCTION("IMPORTRANGE(""https://docs.google.com/spreadsheets/d/1MeEWN-I1oV_STSDYn1IFDPWt_1FKiwhDph83XaGc0o0/edit?usp=sharing"",""งบพรบ!BG69"")"),26800)</f>
        <v>26800</v>
      </c>
      <c r="N127" s="92">
        <f ca="1">IFERROR(__xludf.DUMMYFUNCTION("IMPORTRANGE(""https://docs.google.com/spreadsheets/d/1MeEWN-I1oV_STSDYn1IFDPWt_1FKiwhDph83XaGc0o0/edit?usp=sharing"",""งบพรบ!BI69"")"),26800)</f>
        <v>26800</v>
      </c>
      <c r="O127" s="92">
        <f t="shared" ca="1" si="29"/>
        <v>100</v>
      </c>
      <c r="P127" s="92">
        <f t="shared" ca="1" si="30"/>
        <v>100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IFERROR(__xludf.DUMMYFUNCTION("IMPORTRANGE(""https://docs.google.com/spreadsheets/d/1MeEWN-I1oV_STSDYn1IFDPWt_1FKiwhDph83XaGc0o0/edit?usp=sharing"",""งบพรบ!BK69"")"),0)</f>
        <v>0</v>
      </c>
      <c r="M137" s="92">
        <f ca="1">IFERROR(__xludf.DUMMYFUNCTION("IMPORTRANGE(""https://docs.google.com/spreadsheets/d/1MeEWN-I1oV_STSDYn1IFDPWt_1FKiwhDph83XaGc0o0/edit?usp=sharing"",""งบพรบ!BP69"")"),0)</f>
        <v>0</v>
      </c>
      <c r="N137" s="92">
        <f ca="1">IFERROR(__xludf.DUMMYFUNCTION("IMPORTRANGE(""https://docs.google.com/spreadsheets/d/1MeEWN-I1oV_STSDYn1IFDPWt_1FKiwhDph83XaGc0o0/edit?usp=sharing"",""งบพรบ!BR69"")"),0)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IFERROR(__xludf.DUMMYFUNCTION("IMPORTRANGE(""https://docs.google.com/spreadsheets/d/1MeEWN-I1oV_STSDYn1IFDPWt_1FKiwhDph83XaGc0o0/edit?usp=sharing"",""งบพรบ!BN69"")"),0)</f>
        <v>0</v>
      </c>
      <c r="M140" s="92">
        <f ca="1">IFERROR(__xludf.DUMMYFUNCTION("IMPORTRANGE(""https://docs.google.com/spreadsheets/d/1MeEWN-I1oV_STSDYn1IFDPWt_1FKiwhDph83XaGc0o0/edit?usp=sharing"",""งบพรบ!BQ69"")"),0)</f>
        <v>0</v>
      </c>
      <c r="N140" s="92">
        <f ca="1">IFERROR(__xludf.DUMMYFUNCTION("IMPORTRANGE(""https://docs.google.com/spreadsheets/d/1MeEWN-I1oV_STSDYn1IFDPWt_1FKiwhDph83XaGc0o0/edit?usp=sharing"",""งบพรบ!BS69"")"),0)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IFERROR(__xludf.DUMMYFUNCTION("IMPORTRANGE(""https://docs.google.com/spreadsheets/d/1QqKyyYR6Q21VydFLVH3TRQUabQu_ym0Zz7PgGX0-kHA/edit?usp=sharing"",""แผน!U69"")"),0)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IFERROR(__xludf.DUMMYFUNCTION("IMPORTRANGE(""https://docs.google.com/spreadsheets/d/1QqKyyYR6Q21VydFLVH3TRQUabQu_ym0Zz7PgGX0-kHA/edit?usp=sharing"",""แผน!V69"")"),0)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IFERROR(__xludf.DUMMYFUNCTION("IMPORTRANGE(""https://docs.google.com/spreadsheets/d/1QqKyyYR6Q21VydFLVH3TRQUabQu_ym0Zz7PgGX0-kHA/edit?usp=sharing"",""แผน!W69"")"),0)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IFERROR(__xludf.DUMMYFUNCTION("IMPORTRANGE(""https://docs.google.com/spreadsheets/d/1MeEWN-I1oV_STSDYn1IFDPWt_1FKiwhDph83XaGc0o0/edit?usp=sharing"",""งบพรบ!BU69"")"),0)</f>
        <v>0</v>
      </c>
      <c r="M154" s="92">
        <f ca="1">IFERROR(__xludf.DUMMYFUNCTION("IMPORTRANGE(""https://docs.google.com/spreadsheets/d/1MeEWN-I1oV_STSDYn1IFDPWt_1FKiwhDph83XaGc0o0/edit?usp=sharing"",""งบพรบ!BZ69"")"),0)</f>
        <v>0</v>
      </c>
      <c r="N154" s="92">
        <f ca="1">IFERROR(__xludf.DUMMYFUNCTION("IMPORTRANGE(""https://docs.google.com/spreadsheets/d/1MeEWN-I1oV_STSDYn1IFDPWt_1FKiwhDph83XaGc0o0/edit?usp=sharing"",""งบพรบ!CB69"")"),0)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IFERROR(__xludf.DUMMYFUNCTION("IMPORTRANGE(""https://docs.google.com/spreadsheets/d/1MeEWN-I1oV_STSDYn1IFDPWt_1FKiwhDph83XaGc0o0/edit?usp=sharing"",""งบพรบ!BX69"")"),0)</f>
        <v>0</v>
      </c>
      <c r="M157" s="92">
        <f ca="1">IFERROR(__xludf.DUMMYFUNCTION("IMPORTRANGE(""https://docs.google.com/spreadsheets/d/1MeEWN-I1oV_STSDYn1IFDPWt_1FKiwhDph83XaGc0o0/edit?usp=sharing"",""งบพรบ!CA69"")"),0)</f>
        <v>0</v>
      </c>
      <c r="N157" s="92">
        <f ca="1">IFERROR(__xludf.DUMMYFUNCTION("IMPORTRANGE(""https://docs.google.com/spreadsheets/d/1MeEWN-I1oV_STSDYn1IFDPWt_1FKiwhDph83XaGc0o0/edit?usp=sharing"",""งบพรบ!CC69"")"),0)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IFERROR(__xludf.DUMMYFUNCTION("IMPORTRANGE(""https://docs.google.com/spreadsheets/d/1QqKyyYR6Q21VydFLVH3TRQUabQu_ym0Zz7PgGX0-kHA/edit?usp=sharing"",""แผน!X69"")"),0)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34850</v>
      </c>
      <c r="N165" s="154">
        <f ca="1">N166+N167</f>
        <v>34850</v>
      </c>
      <c r="O165" s="154">
        <f t="shared" ref="O165:O173" ca="1" si="38">IF(L165&gt;0,N165*100/L165,0)</f>
        <v>165.55819477434679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34850</v>
      </c>
      <c r="N167" s="92">
        <f t="shared" ca="1" si="40"/>
        <v>34850</v>
      </c>
      <c r="O167" s="92">
        <f t="shared" ca="1" si="38"/>
        <v>165.55819477434679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34850</v>
      </c>
      <c r="N168" s="497">
        <f ca="1">N169+N170</f>
        <v>34850</v>
      </c>
      <c r="O168" s="497">
        <f t="shared" ca="1" si="38"/>
        <v>165.55819477434679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IFERROR(__xludf.DUMMYFUNCTION("IMPORTRANGE(""https://docs.google.com/spreadsheets/d/1MeEWN-I1oV_STSDYn1IFDPWt_1FKiwhDph83XaGc0o0/edit?usp=sharing"",""งบพรบ!CE69"")"),21050)</f>
        <v>21050</v>
      </c>
      <c r="M170" s="92">
        <f ca="1">IFERROR(__xludf.DUMMYFUNCTION("IMPORTRANGE(""https://docs.google.com/spreadsheets/d/1MeEWN-I1oV_STSDYn1IFDPWt_1FKiwhDph83XaGc0o0/edit?usp=sharing"",""งบพรบ!CJ69"")"),34850)</f>
        <v>34850</v>
      </c>
      <c r="N170" s="92">
        <f ca="1">IFERROR(__xludf.DUMMYFUNCTION("IMPORTRANGE(""https://docs.google.com/spreadsheets/d/1MeEWN-I1oV_STSDYn1IFDPWt_1FKiwhDph83XaGc0o0/edit?usp=sharing"",""งบพรบ!CL69"")"),34850)</f>
        <v>34850</v>
      </c>
      <c r="O170" s="92">
        <f t="shared" ca="1" si="38"/>
        <v>165.55819477434679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IFERROR(__xludf.DUMMYFUNCTION("IMPORTRANGE(""https://docs.google.com/spreadsheets/d/1MeEWN-I1oV_STSDYn1IFDPWt_1FKiwhDph83XaGc0o0/edit?usp=sharing"",""งบพรบ!CH69"")"),0)</f>
        <v>0</v>
      </c>
      <c r="M173" s="92">
        <f ca="1">IFERROR(__xludf.DUMMYFUNCTION("IMPORTRANGE(""https://docs.google.com/spreadsheets/d/1MeEWN-I1oV_STSDYn1IFDPWt_1FKiwhDph83XaGc0o0/edit?usp=sharing"",""งบพรบ!CK69"")"),0)</f>
        <v>0</v>
      </c>
      <c r="N173" s="92">
        <f ca="1">IFERROR(__xludf.DUMMYFUNCTION("IMPORTRANGE(""https://docs.google.com/spreadsheets/d/1MeEWN-I1oV_STSDYn1IFDPWt_1FKiwhDph83XaGc0o0/edit?usp=sharing"",""งบพรบ!CM69"")"),0)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IFERROR(__xludf.DUMMYFUNCTION("IMPORTRANGE(""https://docs.google.com/spreadsheets/d/1QqKyyYR6Q21VydFLVH3TRQUabQu_ym0Zz7PgGX0-kHA/edit?usp=sharing"",""แผน!Y69"")"),10)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60</v>
      </c>
      <c r="J180" s="252">
        <f>J225+J226</f>
        <v>60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276800</v>
      </c>
      <c r="M181" s="154">
        <f ca="1">M182+M183</f>
        <v>283520</v>
      </c>
      <c r="N181" s="154">
        <f ca="1">N182+N183</f>
        <v>283520</v>
      </c>
      <c r="O181" s="154">
        <f t="shared" ref="O181:O189" ca="1" si="41">IF(L181&gt;0,N181*100/L181,0)</f>
        <v>102.42774566473989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276800</v>
      </c>
      <c r="M183" s="92">
        <f t="shared" ca="1" si="43"/>
        <v>283520</v>
      </c>
      <c r="N183" s="92">
        <f t="shared" ca="1" si="43"/>
        <v>283520</v>
      </c>
      <c r="O183" s="92">
        <f t="shared" ca="1" si="41"/>
        <v>102.42774566473989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276800</v>
      </c>
      <c r="M184" s="497">
        <f ca="1">M185+M186</f>
        <v>283520</v>
      </c>
      <c r="N184" s="497">
        <f ca="1">N185+N186</f>
        <v>283520</v>
      </c>
      <c r="O184" s="497">
        <f t="shared" ca="1" si="41"/>
        <v>102.42774566473989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IFERROR(__xludf.DUMMYFUNCTION("IMPORTRANGE(""https://docs.google.com/spreadsheets/d/1MeEWN-I1oV_STSDYn1IFDPWt_1FKiwhDph83XaGc0o0/edit?usp=sharing"",""งบพรบ!CO69"")"),276800)</f>
        <v>276800</v>
      </c>
      <c r="M186" s="92">
        <f ca="1">IFERROR(__xludf.DUMMYFUNCTION("IMPORTRANGE(""https://docs.google.com/spreadsheets/d/1MeEWN-I1oV_STSDYn1IFDPWt_1FKiwhDph83XaGc0o0/edit?usp=sharing"",""งบพรบ!CT69"")"),283520)</f>
        <v>283520</v>
      </c>
      <c r="N186" s="92">
        <f ca="1">IFERROR(__xludf.DUMMYFUNCTION("IMPORTRANGE(""https://docs.google.com/spreadsheets/d/1MeEWN-I1oV_STSDYn1IFDPWt_1FKiwhDph83XaGc0o0/edit?usp=sharing"",""งบพรบ!CV69"")"),283520)</f>
        <v>283520</v>
      </c>
      <c r="O186" s="92">
        <f t="shared" ca="1" si="41"/>
        <v>102.42774566473989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IFERROR(__xludf.DUMMYFUNCTION("IMPORTRANGE(""https://docs.google.com/spreadsheets/d/1MeEWN-I1oV_STSDYn1IFDPWt_1FKiwhDph83XaGc0o0/edit?usp=sharing"",""งบพรบ!CR69"")"),0)</f>
        <v>0</v>
      </c>
      <c r="M189" s="92">
        <f ca="1">IFERROR(__xludf.DUMMYFUNCTION("IMPORTRANGE(""https://docs.google.com/spreadsheets/d/1MeEWN-I1oV_STSDYn1IFDPWt_1FKiwhDph83XaGc0o0/edit?usp=sharing"",""งบพรบ!CU69"")"),0)</f>
        <v>0</v>
      </c>
      <c r="N189" s="92">
        <f ca="1">IFERROR(__xludf.DUMMYFUNCTION("IMPORTRANGE(""https://docs.google.com/spreadsheets/d/1MeEWN-I1oV_STSDYn1IFDPWt_1FKiwhDph83XaGc0o0/edit?usp=sharing"",""งบพรบ!CW69"")"),0)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IFERROR(__xludf.DUMMYFUNCTION("IMPORTRANGE(""https://docs.google.com/spreadsheets/d/1QqKyyYR6Q21VydFLVH3TRQUabQu_ym0Zz7PgGX0-kHA/edit?usp=sharing"",""แผน!Z69"")"),6000)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IFERROR(__xludf.DUMMYFUNCTION("IMPORTRANGE(""https://docs.google.com/spreadsheets/d/1QqKyyYR6Q21VydFLVH3TRQUabQu_ym0Zz7PgGX0-kHA/edit?usp=sharing"",""แผน!AC69"")"),4)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IFERROR(__xludf.DUMMYFUNCTION("IMPORTRANGE(""https://docs.google.com/spreadsheets/d/1QqKyyYR6Q21VydFLVH3TRQUabQu_ym0Zz7PgGX0-kHA/edit?usp=sharing"",""แผน!AI69"")"),3)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6</v>
      </c>
      <c r="J208" s="271">
        <f>J215</f>
        <v>6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84000</v>
      </c>
      <c r="M209" s="154"/>
      <c r="N209" s="154">
        <f>N210+N211+N212</f>
        <v>84000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3">
        <v>6000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3">
        <v>30000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3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IFERROR(__xludf.DUMMYFUNCTION("IMPORTRANGE(""https://docs.google.com/spreadsheets/d/1QqKyyYR6Q21VydFLVH3TRQUabQu_ym0Zz7PgGX0-kHA/edit?usp=sharing"",""แผน!AN69"")"),6)</f>
        <v>6</v>
      </c>
      <c r="J214" s="214">
        <v>6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IFERROR(__xludf.DUMMYFUNCTION("IMPORTRANGE(""https://docs.google.com/spreadsheets/d/1QqKyyYR6Q21VydFLVH3TRQUabQu_ym0Zz7PgGX0-kHA/edit?usp=sharing"",""แผน!AN69"")"),6)</f>
        <v>6</v>
      </c>
      <c r="J215" s="214">
        <v>6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40000</v>
      </c>
      <c r="J216" s="271">
        <f>J224</f>
        <v>40000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15000</v>
      </c>
      <c r="M217" s="154"/>
      <c r="N217" s="154">
        <f>N218+N219+N220</f>
        <v>15000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3">
        <v>10000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IFERROR(__xludf.DUMMYFUNCTION("IMPORTRANGE(""https://docs.google.com/spreadsheets/d/1QqKyyYR6Q21VydFLVH3TRQUabQu_ym0Zz7PgGX0-kHA/edit?usp=sharing"",""แผน!AT69"")"),40000)</f>
        <v>40000</v>
      </c>
      <c r="J223" s="214">
        <v>40000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IFERROR(__xludf.DUMMYFUNCTION("IMPORTRANGE(""https://docs.google.com/spreadsheets/d/1QqKyyYR6Q21VydFLVH3TRQUabQu_ym0Zz7PgGX0-kHA/edit?usp=sharing"",""แผน!AT69"")"),40000)</f>
        <v>40000</v>
      </c>
      <c r="J224" s="214">
        <v>40000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IFERROR(__xludf.DUMMYFUNCTION("IMPORTRANGE(""https://docs.google.com/spreadsheets/d/1QqKyyYR6Q21VydFLVH3TRQUabQu_ym0Zz7PgGX0-kHA/edit?usp=sharing"",""แผน!AS69"")"),0)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60</v>
      </c>
      <c r="J226" s="344">
        <f>J237+J248</f>
        <v>60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132800</v>
      </c>
      <c r="M227" s="355"/>
      <c r="N227" s="355">
        <f>N238+N249</f>
        <v>132800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40000</v>
      </c>
      <c r="M228" s="92"/>
      <c r="N228" s="92">
        <f>N239+N250</f>
        <v>40210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52800</v>
      </c>
      <c r="M229" s="92"/>
      <c r="N229" s="92">
        <f>N240+N251</f>
        <v>52800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20000</v>
      </c>
      <c r="M230" s="92"/>
      <c r="N230" s="92">
        <f>N241+N252</f>
        <v>20000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20000</v>
      </c>
      <c r="M231" s="92"/>
      <c r="N231" s="92">
        <f>N242+N253</f>
        <v>19790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60</v>
      </c>
      <c r="J233" s="612">
        <f>J244+J255</f>
        <v>60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2</v>
      </c>
      <c r="J236" s="612">
        <f>J247+J258</f>
        <v>2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68800</v>
      </c>
      <c r="M238" s="154"/>
      <c r="N238" s="154">
        <f>N239+N240+N241+N242</f>
        <v>68800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IFERROR(__xludf.DUMMYFUNCTION("IMPORTRANGE(""https://docs.google.com/spreadsheets/d/1QqKyyYR6Q21VydFLVH3TRQUabQu_ym0Zz7PgGX0-kHA/edit?usp=sharing"",""แผน!AV69"")"),20000)</f>
        <v>20000</v>
      </c>
      <c r="M239" s="282"/>
      <c r="N239" s="862">
        <v>20210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IFERROR(__xludf.DUMMYFUNCTION("IMPORTRANGE(""https://docs.google.com/spreadsheets/d/1QqKyyYR6Q21VydFLVH3TRQUabQu_ym0Zz7PgGX0-kHA/edit?usp=sharing"",""แผน!AW69"")"),18800)</f>
        <v>18800</v>
      </c>
      <c r="M240" s="282"/>
      <c r="N240" s="862">
        <v>18800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IFERROR(__xludf.DUMMYFUNCTION("IMPORTRANGE(""https://docs.google.com/spreadsheets/d/1QqKyyYR6Q21VydFLVH3TRQUabQu_ym0Zz7PgGX0-kHA/edit?usp=sharing"",""แผน!AX69"")"),20000)</f>
        <v>20000</v>
      </c>
      <c r="M241" s="282"/>
      <c r="N241" s="862">
        <v>20000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IFERROR(__xludf.DUMMYFUNCTION("IMPORTRANGE(""https://docs.google.com/spreadsheets/d/1QqKyyYR6Q21VydFLVH3TRQUabQu_ym0Zz7PgGX0-kHA/edit?usp=sharing"",""แผน!AY69"")"),10000)</f>
        <v>10000</v>
      </c>
      <c r="M242" s="282"/>
      <c r="N242" s="862">
        <v>9790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IFERROR(__xludf.DUMMYFUNCTION("IMPORTRANGE(""https://docs.google.com/spreadsheets/d/1QqKyyYR6Q21VydFLVH3TRQUabQu_ym0Zz7PgGX0-kHA/edit?usp=sharing"",""แผน!BE69"")"),20)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40</v>
      </c>
      <c r="J248" s="271">
        <f>J255</f>
        <v>40</v>
      </c>
      <c r="K248" s="272">
        <f ca="1">IF(I248&gt;0,J248*100/I248,0)</f>
        <v>100</v>
      </c>
      <c r="L248" s="261"/>
      <c r="M248" s="261"/>
      <c r="N248" s="261"/>
      <c r="O248" s="261"/>
      <c r="P248" s="261"/>
    </row>
    <row r="249" spans="1:26" ht="19.5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64000</v>
      </c>
      <c r="M249" s="154"/>
      <c r="N249" s="154">
        <f>N250+N251+N252+N253</f>
        <v>64000</v>
      </c>
      <c r="O249" s="154">
        <f ca="1">IF(L249&gt;0,N249*100/L249,0)</f>
        <v>100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IFERROR(__xludf.DUMMYFUNCTION("IMPORTRANGE(""https://docs.google.com/spreadsheets/d/1QqKyyYR6Q21VydFLVH3TRQUabQu_ym0Zz7PgGX0-kHA/edit?usp=sharing"",""แผน!AZ69"")"),20000)</f>
        <v>20000</v>
      </c>
      <c r="M250" s="282"/>
      <c r="N250" s="862">
        <v>20000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IFERROR(__xludf.DUMMYFUNCTION("IMPORTRANGE(""https://docs.google.com/spreadsheets/d/1QqKyyYR6Q21VydFLVH3TRQUabQu_ym0Zz7PgGX0-kHA/edit?usp=sharing"",""แผน!BA69"")"),34000)</f>
        <v>34000</v>
      </c>
      <c r="M251" s="282"/>
      <c r="N251" s="862">
        <v>34000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IFERROR(__xludf.DUMMYFUNCTION("IMPORTRANGE(""https://docs.google.com/spreadsheets/d/1QqKyyYR6Q21VydFLVH3TRQUabQu_ym0Zz7PgGX0-kHA/edit?usp=sharing"",""แผน!BB69"")"),0)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IFERROR(__xludf.DUMMYFUNCTION("IMPORTRANGE(""https://docs.google.com/spreadsheets/d/1QqKyyYR6Q21VydFLVH3TRQUabQu_ym0Zz7PgGX0-kHA/edit?usp=sharing"",""แผน!BC69"")"),10000)</f>
        <v>10000</v>
      </c>
      <c r="M253" s="282"/>
      <c r="N253" s="862">
        <v>10000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IFERROR(__xludf.DUMMYFUNCTION("IMPORTRANGE(""https://docs.google.com/spreadsheets/d/1QqKyyYR6Q21VydFLVH3TRQUabQu_ym0Zz7PgGX0-kHA/edit?usp=sharing"",""แผน!BF69"")"),40)</f>
        <v>40</v>
      </c>
      <c r="J255" s="214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>
        <v>0</v>
      </c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>
        <v>1</v>
      </c>
      <c r="J258" s="214">
        <v>1</v>
      </c>
      <c r="K258" s="497">
        <f>IF(I258&gt;0,J258*100/I258,0)</f>
        <v>100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IFERROR(__xludf.DUMMYFUNCTION("IMPORTRANGE(""https://docs.google.com/spreadsheets/d/1MeEWN-I1oV_STSDYn1IFDPWt_1FKiwhDph83XaGc0o0/edit?usp=sharing"",""งบพรบ!CY69"")"),26900)</f>
        <v>26900</v>
      </c>
      <c r="M266" s="92">
        <f ca="1">IFERROR(__xludf.DUMMYFUNCTION("IMPORTRANGE(""https://docs.google.com/spreadsheets/d/1MeEWN-I1oV_STSDYn1IFDPWt_1FKiwhDph83XaGc0o0/edit?usp=sharing"",""งบพรบ!DD69"")"),26900)</f>
        <v>26900</v>
      </c>
      <c r="N266" s="92">
        <f ca="1">IFERROR(__xludf.DUMMYFUNCTION("IMPORTRANGE(""https://docs.google.com/spreadsheets/d/1MeEWN-I1oV_STSDYn1IFDPWt_1FKiwhDph83XaGc0o0/edit?usp=sharing"",""งบพรบ!DF69"")"),26900)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IFERROR(__xludf.DUMMYFUNCTION("IMPORTRANGE(""https://docs.google.com/spreadsheets/d/1MeEWN-I1oV_STSDYn1IFDPWt_1FKiwhDph83XaGc0o0/edit?usp=sharing"",""งบพรบ!DB69"")"),0)</f>
        <v>0</v>
      </c>
      <c r="M269" s="92">
        <f ca="1">IFERROR(__xludf.DUMMYFUNCTION("IMPORTRANGE(""https://docs.google.com/spreadsheets/d/1MeEWN-I1oV_STSDYn1IFDPWt_1FKiwhDph83XaGc0o0/edit?usp=sharing"",""งบพรบ!DE69"")"),0)</f>
        <v>0</v>
      </c>
      <c r="N269" s="92">
        <f ca="1">IFERROR(__xludf.DUMMYFUNCTION("IMPORTRANGE(""https://docs.google.com/spreadsheets/d/1MeEWN-I1oV_STSDYn1IFDPWt_1FKiwhDph83XaGc0o0/edit?usp=sharing"",""งบพรบ!DG69"")"),0)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IFERROR(__xludf.DUMMYFUNCTION("IMPORTRANGE(""https://docs.google.com/spreadsheets/d/1QqKyyYR6Q21VydFLVH3TRQUabQu_ym0Zz7PgGX0-kHA/edit?usp=sharing"",""แผน!EA69"")"),22)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30</v>
      </c>
      <c r="J275" s="405">
        <f ca="1">J288</f>
        <v>30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300</v>
      </c>
      <c r="J276" s="860">
        <f>J287</f>
        <v>300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111710</v>
      </c>
      <c r="M277" s="154">
        <f ca="1">M278+M279</f>
        <v>111710</v>
      </c>
      <c r="N277" s="154">
        <f ca="1">N278+N279</f>
        <v>111710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111710</v>
      </c>
      <c r="M279" s="92">
        <f t="shared" ca="1" si="49"/>
        <v>111710</v>
      </c>
      <c r="N279" s="92">
        <f t="shared" ca="1" si="49"/>
        <v>111710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111710</v>
      </c>
      <c r="M280" s="497">
        <f ca="1">M281+M282</f>
        <v>111710</v>
      </c>
      <c r="N280" s="497">
        <f ca="1">N281+N282</f>
        <v>111710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IFERROR(__xludf.DUMMYFUNCTION("IMPORTRANGE(""https://docs.google.com/spreadsheets/d/1MeEWN-I1oV_STSDYn1IFDPWt_1FKiwhDph83XaGc0o0/edit?usp=sharing"",""งบพรบ!DI69"")"),111710)</f>
        <v>111710</v>
      </c>
      <c r="M282" s="92">
        <f ca="1">IFERROR(__xludf.DUMMYFUNCTION("IMPORTRANGE(""https://docs.google.com/spreadsheets/d/1MeEWN-I1oV_STSDYn1IFDPWt_1FKiwhDph83XaGc0o0/edit?usp=sharing"",""งบพรบ!DN69"")"),111710)</f>
        <v>111710</v>
      </c>
      <c r="N282" s="92">
        <f ca="1">IFERROR(__xludf.DUMMYFUNCTION("IMPORTRANGE(""https://docs.google.com/spreadsheets/d/1MeEWN-I1oV_STSDYn1IFDPWt_1FKiwhDph83XaGc0o0/edit?usp=sharing"",""งบพรบ!DP69"")"),111710)</f>
        <v>111710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IFERROR(__xludf.DUMMYFUNCTION("IMPORTRANGE(""https://docs.google.com/spreadsheets/d/1MeEWN-I1oV_STSDYn1IFDPWt_1FKiwhDph83XaGc0o0/edit?usp=sharing"",""งบพรบ!DL69"")"),0)</f>
        <v>0</v>
      </c>
      <c r="M285" s="92">
        <f ca="1">IFERROR(__xludf.DUMMYFUNCTION("IMPORTRANGE(""https://docs.google.com/spreadsheets/d/1MeEWN-I1oV_STSDYn1IFDPWt_1FKiwhDph83XaGc0o0/edit?usp=sharing"",""งบพรบ!DO69"")"),0)</f>
        <v>0</v>
      </c>
      <c r="N285" s="92">
        <f ca="1">IFERROR(__xludf.DUMMYFUNCTION("IMPORTRANGE(""https://docs.google.com/spreadsheets/d/1MeEWN-I1oV_STSDYn1IFDPWt_1FKiwhDph83XaGc0o0/edit?usp=sharing"",""งบพรบ!DQ69"")"),0)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IFERROR(__xludf.DUMMYFUNCTION("IMPORTRANGE(""https://docs.google.com/spreadsheets/d/1QqKyyYR6Q21VydFLVH3TRQUabQu_ym0Zz7PgGX0-kHA/edit?usp=sharing"",""แผน!EC69"")"),300)</f>
        <v>300</v>
      </c>
      <c r="J287" s="214">
        <v>300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30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IFERROR(__xludf.DUMMYFUNCTION("IMPORTRANGE(""https://docs.google.com/spreadsheets/d/1QqKyyYR6Q21VydFLVH3TRQUabQu_ym0Zz7PgGX0-kHA/edit?usp=sharing"",""แผน!EB69"")"),30)</f>
        <v>30</v>
      </c>
      <c r="J290" s="214">
        <v>30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IFERROR(__xludf.DUMMYFUNCTION("IMPORTRANGE(""https://docs.google.com/spreadsheets/d/1QqKyyYR6Q21VydFLVH3TRQUabQu_ym0Zz7PgGX0-kHA/edit?usp=sharing"",""แผน!EB69"")"),30)</f>
        <v>30</v>
      </c>
      <c r="J291" s="214">
        <v>30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IFERROR(__xludf.DUMMYFUNCTION("IMPORTRANGE(""https://docs.google.com/spreadsheets/d/1QqKyyYR6Q21VydFLVH3TRQUabQu_ym0Zz7PgGX0-kHA/edit?usp=sharing"",""แผน!EB69"")"),30)</f>
        <v>30</v>
      </c>
      <c r="J293" s="214">
        <v>30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IFERROR(__xludf.DUMMYFUNCTION("IMPORTRANGE(""https://docs.google.com/spreadsheets/d/1QqKyyYR6Q21VydFLVH3TRQUabQu_ym0Zz7PgGX0-kHA/edit?usp=sharing"",""แผน!EB69"")"),30)</f>
        <v>30</v>
      </c>
      <c r="J294" s="423">
        <v>30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IFERROR(__xludf.DUMMYFUNCTION("IMPORTRANGE(""https://docs.google.com/spreadsheets/d/1MeEWN-I1oV_STSDYn1IFDPWt_1FKiwhDph83XaGc0o0/edit?usp=sharing"",""งบพรบ!DS69"")"),0)</f>
        <v>0</v>
      </c>
      <c r="M303" s="92">
        <f ca="1">IFERROR(__xludf.DUMMYFUNCTION("IMPORTRANGE(""https://docs.google.com/spreadsheets/d/1MeEWN-I1oV_STSDYn1IFDPWt_1FKiwhDph83XaGc0o0/edit?usp=sharing"",""งบพรบ!DX69"")"),0)</f>
        <v>0</v>
      </c>
      <c r="N303" s="92">
        <f ca="1">IFERROR(__xludf.DUMMYFUNCTION("IMPORTRANGE(""https://docs.google.com/spreadsheets/d/1MeEWN-I1oV_STSDYn1IFDPWt_1FKiwhDph83XaGc0o0/edit?usp=sharing"",""งบพรบ!DZ69"")"),0)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IFERROR(__xludf.DUMMYFUNCTION("IMPORTRANGE(""https://docs.google.com/spreadsheets/d/1MeEWN-I1oV_STSDYn1IFDPWt_1FKiwhDph83XaGc0o0/edit?usp=sharing"",""งบพรบ!DV69"")"),0)</f>
        <v>0</v>
      </c>
      <c r="M306" s="92">
        <f ca="1">IFERROR(__xludf.DUMMYFUNCTION("IMPORTRANGE(""https://docs.google.com/spreadsheets/d/1MeEWN-I1oV_STSDYn1IFDPWt_1FKiwhDph83XaGc0o0/edit?usp=sharing"",""งบพรบ!DY69"")"),0)</f>
        <v>0</v>
      </c>
      <c r="N306" s="92">
        <f ca="1">IFERROR(__xludf.DUMMYFUNCTION("IMPORTRANGE(""https://docs.google.com/spreadsheets/d/1MeEWN-I1oV_STSDYn1IFDPWt_1FKiwhDph83XaGc0o0/edit?usp=sharing"",""งบพรบ!EA69"")"),0)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IFERROR(__xludf.DUMMYFUNCTION("IMPORTRANGE(""https://docs.google.com/spreadsheets/d/1QqKyyYR6Q21VydFLVH3TRQUabQu_ym0Zz7PgGX0-kHA/edit?usp=sharing"",""แผน!ED69"")"),0)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IFERROR(__xludf.DUMMYFUNCTION("IMPORTRANGE(""https://docs.google.com/spreadsheets/d/1QqKyyYR6Q21VydFLVH3TRQUabQu_ym0Zz7PgGX0-kHA/edit?usp=sharing"",""แผน!ED69"")"),0)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IFERROR(__xludf.DUMMYFUNCTION("IMPORTRANGE(""https://docs.google.com/spreadsheets/d/1QqKyyYR6Q21VydFLVH3TRQUabQu_ym0Zz7PgGX0-kHA/edit?usp=sharing"",""แผน!ED69"")"),0)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IFERROR(__xludf.DUMMYFUNCTION("IMPORTRANGE(""https://docs.google.com/spreadsheets/d/1QqKyyYR6Q21VydFLVH3TRQUabQu_ym0Zz7PgGX0-kHA/edit?usp=sharing"",""แผน!EE69"")"),0)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2</v>
      </c>
      <c r="J314" s="443">
        <f>J325</f>
        <v>2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19.5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153000</v>
      </c>
      <c r="O315" s="154">
        <f t="shared" ref="O315:O323" ca="1" si="53">IF(L315&gt;0,N315*100/L315,0)</f>
        <v>100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153000</v>
      </c>
      <c r="M317" s="92">
        <f t="shared" ca="1" si="55"/>
        <v>153000</v>
      </c>
      <c r="N317" s="92">
        <f t="shared" ca="1" si="55"/>
        <v>153000</v>
      </c>
      <c r="O317" s="92">
        <f t="shared" ca="1" si="53"/>
        <v>100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153000</v>
      </c>
      <c r="N318" s="497">
        <f ca="1">N319+N320</f>
        <v>153000</v>
      </c>
      <c r="O318" s="497">
        <f t="shared" ca="1" si="53"/>
        <v>100</v>
      </c>
      <c r="P318" s="497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IFERROR(__xludf.DUMMYFUNCTION("IMPORTRANGE(""https://docs.google.com/spreadsheets/d/1MeEWN-I1oV_STSDYn1IFDPWt_1FKiwhDph83XaGc0o0/edit?usp=sharing"",""งบพรบ!EC69"")"),153000)</f>
        <v>153000</v>
      </c>
      <c r="M320" s="92">
        <f ca="1">IFERROR(__xludf.DUMMYFUNCTION("IMPORTRANGE(""https://docs.google.com/spreadsheets/d/1MeEWN-I1oV_STSDYn1IFDPWt_1FKiwhDph83XaGc0o0/edit?usp=sharing"",""งบพรบ!EH69"")"),153000)</f>
        <v>153000</v>
      </c>
      <c r="N320" s="92">
        <f ca="1">IFERROR(__xludf.DUMMYFUNCTION("IMPORTRANGE(""https://docs.google.com/spreadsheets/d/1MeEWN-I1oV_STSDYn1IFDPWt_1FKiwhDph83XaGc0o0/edit?usp=sharing"",""งบพรบ!EJ69"")"),153000)</f>
        <v>153000</v>
      </c>
      <c r="O320" s="92">
        <f t="shared" ca="1" si="53"/>
        <v>100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IFERROR(__xludf.DUMMYFUNCTION("IMPORTRANGE(""https://docs.google.com/spreadsheets/d/1MeEWN-I1oV_STSDYn1IFDPWt_1FKiwhDph83XaGc0o0/edit?usp=sharing"",""งบพรบ!EF69"")"),0)</f>
        <v>0</v>
      </c>
      <c r="M323" s="92">
        <f ca="1">IFERROR(__xludf.DUMMYFUNCTION("IMPORTRANGE(""https://docs.google.com/spreadsheets/d/1MeEWN-I1oV_STSDYn1IFDPWt_1FKiwhDph83XaGc0o0/edit?usp=sharing"",""งบพรบ!EI69"")"),0)</f>
        <v>0</v>
      </c>
      <c r="N323" s="92">
        <f ca="1">IFERROR(__xludf.DUMMYFUNCTION("IMPORTRANGE(""https://docs.google.com/spreadsheets/d/1MeEWN-I1oV_STSDYn1IFDPWt_1FKiwhDph83XaGc0o0/edit?usp=sharing"",""งบพรบ!EK69"")"),0)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IFERROR(__xludf.DUMMYFUNCTION("IMPORTRANGE(""https://docs.google.com/spreadsheets/d/1QqKyyYR6Q21VydFLVH3TRQUabQu_ym0Zz7PgGX0-kHA/edit?usp=sharing"",""แผน!EF69"")"),2)</f>
        <v>2</v>
      </c>
      <c r="J325" s="214">
        <v>2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IFERROR(__xludf.DUMMYFUNCTION("IMPORTRANGE(""https://docs.google.com/spreadsheets/d/1QqKyyYR6Q21VydFLVH3TRQUabQu_ym0Zz7PgGX0-kHA/edit?usp=sharing"",""แผน!EG69"")"),5300)</f>
        <v>5300</v>
      </c>
      <c r="J327" s="443">
        <f ca="1">J338+J341+J342+J343</f>
        <v>9770</v>
      </c>
      <c r="K327" s="444">
        <f ca="1">IF(I327&gt;0,J327*100/I327,0)</f>
        <v>184.33962264150944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182000</v>
      </c>
      <c r="M328" s="154">
        <f ca="1">M329+M330</f>
        <v>184500</v>
      </c>
      <c r="N328" s="154">
        <f ca="1">N329+N330</f>
        <v>184500</v>
      </c>
      <c r="O328" s="154">
        <f t="shared" ref="O328:O336" ca="1" si="56">IF(L328&gt;0,N328*100/L328,0)</f>
        <v>101.37362637362638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182000</v>
      </c>
      <c r="M330" s="92">
        <f t="shared" ca="1" si="58"/>
        <v>184500</v>
      </c>
      <c r="N330" s="92">
        <f t="shared" ca="1" si="58"/>
        <v>184500</v>
      </c>
      <c r="O330" s="92">
        <f t="shared" ca="1" si="56"/>
        <v>101.37362637362638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182000</v>
      </c>
      <c r="M331" s="497">
        <f ca="1">M332+M333</f>
        <v>184500</v>
      </c>
      <c r="N331" s="497">
        <f ca="1">N332+N333</f>
        <v>184500</v>
      </c>
      <c r="O331" s="497">
        <f t="shared" ca="1" si="56"/>
        <v>101.37362637362638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IFERROR(__xludf.DUMMYFUNCTION("IMPORTRANGE(""https://docs.google.com/spreadsheets/d/1MeEWN-I1oV_STSDYn1IFDPWt_1FKiwhDph83XaGc0o0/edit?usp=sharing"",""งบพรบ!EM69"")"),182000)</f>
        <v>182000</v>
      </c>
      <c r="M333" s="92">
        <f ca="1">IFERROR(__xludf.DUMMYFUNCTION("IMPORTRANGE(""https://docs.google.com/spreadsheets/d/1MeEWN-I1oV_STSDYn1IFDPWt_1FKiwhDph83XaGc0o0/edit?usp=sharing"",""งบพรบ!ER69"")"),184500)</f>
        <v>184500</v>
      </c>
      <c r="N333" s="92">
        <f ca="1">IFERROR(__xludf.DUMMYFUNCTION("IMPORTRANGE(""https://docs.google.com/spreadsheets/d/1MeEWN-I1oV_STSDYn1IFDPWt_1FKiwhDph83XaGc0o0/edit?usp=sharing"",""งบพรบ!ET69"")"),184500)</f>
        <v>184500</v>
      </c>
      <c r="O333" s="92">
        <f t="shared" ca="1" si="56"/>
        <v>101.37362637362638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IFERROR(__xludf.DUMMYFUNCTION("IMPORTRANGE(""https://docs.google.com/spreadsheets/d/1MeEWN-I1oV_STSDYn1IFDPWt_1FKiwhDph83XaGc0o0/edit?usp=sharing"",""งบพรบ!EP69"")"),0)</f>
        <v>0</v>
      </c>
      <c r="M336" s="92">
        <f ca="1">IFERROR(__xludf.DUMMYFUNCTION("IMPORTRANGE(""https://docs.google.com/spreadsheets/d/1MeEWN-I1oV_STSDYn1IFDPWt_1FKiwhDph83XaGc0o0/edit?usp=sharing"",""งบพรบ!ES69"")"),0)</f>
        <v>0</v>
      </c>
      <c r="N336" s="92">
        <f ca="1">IFERROR(__xludf.DUMMYFUNCTION("IMPORTRANGE(""https://docs.google.com/spreadsheets/d/1MeEWN-I1oV_STSDYn1IFDPWt_1FKiwhDph83XaGc0o0/edit?usp=sharing"",""งบพรบ!EU69"")"),0)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IFERROR(__xludf.DUMMYFUNCTION("IMPORTRANGE(""https://docs.google.com/spreadsheets/d/1QqKyyYR6Q21VydFLVH3TRQUabQu_ym0Zz7PgGX0-kHA/edit?usp=sharing"",""แผน!EG69"")"),5300)</f>
        <v>5300</v>
      </c>
      <c r="J338" s="269">
        <f ca="1">IFERROR(__xludf.DUMMYFUNCTION("IMPORTRANGE(""https://docs.google.com/spreadsheets/d/1kVcqe37tkHyjCSG3S0O1AXqVkqjo8mSIZil3BcpIysc/edit?usp=sharing"",""ศูนย์!D69"")"),9434)</f>
        <v>9434</v>
      </c>
      <c r="K338" s="497">
        <f ca="1">IF(I338&gt;0,J338*100/I338,0)</f>
        <v>178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IFERROR(__xludf.DUMMYFUNCTION("IMPORTRANGE(""https://docs.google.com/spreadsheets/d/1QqKyyYR6Q21VydFLVH3TRQUabQu_ym0Zz7PgGX0-kHA/edit?usp=sharing"",""แผน!EH69"")"),7)</f>
        <v>7</v>
      </c>
      <c r="J340" s="269">
        <f ca="1">IFERROR(__xludf.DUMMYFUNCTION("IMPORTRANGE(""https://docs.google.com/spreadsheets/d/1kVcqe37tkHyjCSG3S0O1AXqVkqjo8mSIZil3BcpIysc/edit?usp=sharing"",""ศูนย์!E69"")"),8)</f>
        <v>8</v>
      </c>
      <c r="K340" s="497">
        <f ca="1">IF(I340&gt;0,J340*100/I340,0)</f>
        <v>114.28571428571429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IFERROR(__xludf.DUMMYFUNCTION("IMPORTRANGE(""https://docs.google.com/spreadsheets/d/1kVcqe37tkHyjCSG3S0O1AXqVkqjo8mSIZil3BcpIysc/edit?usp=sharing"",""ศูนย์!F69"")"),78)</f>
        <v>78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IFERROR(__xludf.DUMMYFUNCTION("IMPORTRANGE(""https://docs.google.com/spreadsheets/d/1kVcqe37tkHyjCSG3S0O1AXqVkqjo8mSIZil3BcpIysc/edit?usp=sharing"",""ศูนย์!G69"")"),258)</f>
        <v>258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1533320</v>
      </c>
      <c r="M345" s="154">
        <f ca="1">M346+M347</f>
        <v>1470420</v>
      </c>
      <c r="N345" s="154">
        <f ca="1">N346+N347</f>
        <v>1470420</v>
      </c>
      <c r="O345" s="154">
        <f t="shared" ref="O345:O353" ca="1" si="59">IF(L345&gt;0,N345*100/L345,0)</f>
        <v>95.897790415568835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1533320</v>
      </c>
      <c r="M347" s="92">
        <f t="shared" ca="1" si="61"/>
        <v>1470420</v>
      </c>
      <c r="N347" s="92">
        <f t="shared" ca="1" si="61"/>
        <v>1470420</v>
      </c>
      <c r="O347" s="92">
        <f t="shared" ca="1" si="59"/>
        <v>95.897790415568835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1435520</v>
      </c>
      <c r="M348" s="497">
        <f ca="1">M349+M350</f>
        <v>1372620</v>
      </c>
      <c r="N348" s="497">
        <f ca="1">N349+N350</f>
        <v>1372620</v>
      </c>
      <c r="O348" s="497">
        <f t="shared" ca="1" si="59"/>
        <v>95.618312527864461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IFERROR(__xludf.DUMMYFUNCTION("IMPORTRANGE(""https://docs.google.com/spreadsheets/d/1MeEWN-I1oV_STSDYn1IFDPWt_1FKiwhDph83XaGc0o0/edit?usp=sharing"",""งบพรบ!EW69"")"),1435520)</f>
        <v>1435520</v>
      </c>
      <c r="M350" s="92">
        <f ca="1">IFERROR(__xludf.DUMMYFUNCTION("IMPORTRANGE(""https://docs.google.com/spreadsheets/d/1MeEWN-I1oV_STSDYn1IFDPWt_1FKiwhDph83XaGc0o0/edit?usp=sharing"",""งบพรบ!FB69"")"),1372620)</f>
        <v>1372620</v>
      </c>
      <c r="N350" s="92">
        <f ca="1">IFERROR(__xludf.DUMMYFUNCTION("IMPORTRANGE(""https://docs.google.com/spreadsheets/d/1MeEWN-I1oV_STSDYn1IFDPWt_1FKiwhDph83XaGc0o0/edit?usp=sharing"",""งบพรบ!FD69"")"),1372620)</f>
        <v>1372620</v>
      </c>
      <c r="O350" s="92">
        <f t="shared" ca="1" si="59"/>
        <v>95.618312527864461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97800</v>
      </c>
      <c r="M351" s="497">
        <f ca="1">M352+M353</f>
        <v>97800</v>
      </c>
      <c r="N351" s="497">
        <f ca="1">N352+N353</f>
        <v>97800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IFERROR(__xludf.DUMMYFUNCTION("IMPORTRANGE(""https://docs.google.com/spreadsheets/d/1MeEWN-I1oV_STSDYn1IFDPWt_1FKiwhDph83XaGc0o0/edit?usp=sharing"",""งบพรบ!EZ69"")"),97800)</f>
        <v>97800</v>
      </c>
      <c r="M353" s="92">
        <f ca="1">IFERROR(__xludf.DUMMYFUNCTION("IMPORTRANGE(""https://docs.google.com/spreadsheets/d/1MeEWN-I1oV_STSDYn1IFDPWt_1FKiwhDph83XaGc0o0/edit?usp=sharing"",""งบพรบ!FC69"")"),97800)</f>
        <v>97800</v>
      </c>
      <c r="N353" s="92">
        <f ca="1">IFERROR(__xludf.DUMMYFUNCTION("IMPORTRANGE(""https://docs.google.com/spreadsheets/d/1MeEWN-I1oV_STSDYn1IFDPWt_1FKiwhDph83XaGc0o0/edit?usp=sharing"",""งบพรบ!FE69"")"),97800)</f>
        <v>97800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IFERROR(__xludf.DUMMYFUNCTION("IMPORTRANGE(""https://docs.google.com/spreadsheets/d/1QqKyyYR6Q21VydFLVH3TRQUabQu_ym0Zz7PgGX0-kHA/edit?usp=sharing"",""แผน!EP69"")"),438)</f>
        <v>438</v>
      </c>
      <c r="J355" s="464">
        <f ca="1">J362</f>
        <v>533</v>
      </c>
      <c r="K355" s="465">
        <f ca="1">IF(I355&gt;0,J355*100/I355,0)</f>
        <v>121.68949771689498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IFERROR(__xludf.DUMMYFUNCTION("IMPORTRANGE(""https://docs.google.com/spreadsheets/d/1XWAQStnk-4SwqDmLtmXYiTMKHgktTP8We1SCoS47DrQ/edit?usp=sharing"",""จัดที่ดิน!W69"")"),458)</f>
        <v>458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IFERROR(__xludf.DUMMYFUNCTION("IMPORTRANGE(""https://docs.google.com/spreadsheets/d/1QqKyyYR6Q21VydFLVH3TRQUabQu_ym0Zz7PgGX0-kHA/edit?usp=sharing"",""แผน!EO69"")"),6500)</f>
        <v>6500</v>
      </c>
      <c r="J359" s="269">
        <f ca="1">IFERROR(__xludf.DUMMYFUNCTION("IMPORTRANGE(""https://docs.google.com/spreadsheets/d/1XWAQStnk-4SwqDmLtmXYiTMKHgktTP8We1SCoS47DrQ/edit?usp=sharing"",""จัดที่ดิน!X69"")"),6970.28)</f>
        <v>6970.28</v>
      </c>
      <c r="K359" s="497">
        <f t="shared" ca="1" si="62"/>
        <v>107.23507692307692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IFERROR(__xludf.DUMMYFUNCTION("IMPORTRANGE(""https://docs.google.com/spreadsheets/d/1QqKyyYR6Q21VydFLVH3TRQUabQu_ym0Zz7PgGX0-kHA/edit?usp=sharing"",""แผน!EP69"")"),438)</f>
        <v>438</v>
      </c>
      <c r="J360" s="269">
        <f ca="1">IFERROR(__xludf.DUMMYFUNCTION("IMPORTRANGE(""https://docs.google.com/spreadsheets/d/1XWAQStnk-4SwqDmLtmXYiTMKHgktTP8We1SCoS47DrQ/edit?usp=sharing"",""จัดที่ดิน!Y69"")"),561)</f>
        <v>561</v>
      </c>
      <c r="K360" s="497">
        <f t="shared" ca="1" si="62"/>
        <v>128.08219178082192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IFERROR(__xludf.DUMMYFUNCTION("IMPORTRANGE(""https://docs.google.com/spreadsheets/d/1XWAQStnk-4SwqDmLtmXYiTMKHgktTP8We1SCoS47DrQ/edit?usp=sharing"",""จัดที่ดิน!Z69"")"),8688.36)</f>
        <v>8688.36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IFERROR(__xludf.DUMMYFUNCTION("IMPORTRANGE(""https://docs.google.com/spreadsheets/d/1QqKyyYR6Q21VydFLVH3TRQUabQu_ym0Zz7PgGX0-kHA/edit?usp=sharing"",""แผน!EP69"")"),438)</f>
        <v>438</v>
      </c>
      <c r="J362" s="269">
        <f ca="1">IFERROR(__xludf.DUMMYFUNCTION("IMPORTRANGE(""https://docs.google.com/spreadsheets/d/1XWAQStnk-4SwqDmLtmXYiTMKHgktTP8We1SCoS47DrQ/edit?usp=sharing"",""จัดที่ดิน!AA69"")"),533)</f>
        <v>533</v>
      </c>
      <c r="K362" s="497">
        <f t="shared" ca="1" si="62"/>
        <v>121.68949771689498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IFERROR(__xludf.DUMMYFUNCTION("IMPORTRANGE(""https://docs.google.com/spreadsheets/d/1XWAQStnk-4SwqDmLtmXYiTMKHgktTP8We1SCoS47DrQ/edit?usp=sharing"",""จัดที่ดิน!AB69"")"),8359.46)</f>
        <v>8359.4599999999991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638</v>
      </c>
      <c r="J364" s="478">
        <f ca="1">J365+J374</f>
        <v>1041</v>
      </c>
      <c r="K364" s="479">
        <f t="shared" ca="1" si="62"/>
        <v>163.16614420062695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IFERROR(__xludf.DUMMYFUNCTION("IMPORTRANGE(""https://docs.google.com/spreadsheets/d/1QqKyyYR6Q21VydFLVH3TRQUabQu_ym0Zz7PgGX0-kHA/edit?usp=sharing"",""แผน!EJ69"")"),170)</f>
        <v>170</v>
      </c>
      <c r="J365" s="490">
        <f ca="1">J372</f>
        <v>196</v>
      </c>
      <c r="K365" s="491">
        <f t="shared" ca="1" si="62"/>
        <v>115.29411764705883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IFERROR(__xludf.DUMMYFUNCTION("IMPORTRANGE(""https://docs.google.com/spreadsheets/d/1XWAQStnk-4SwqDmLtmXYiTMKHgktTP8We1SCoS47DrQ/edit?usp=sharing"",""จัดที่ดิน!E69"")"),98)</f>
        <v>98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IFERROR(__xludf.DUMMYFUNCTION("IMPORTRANGE(""https://docs.google.com/spreadsheets/d/1QqKyyYR6Q21VydFLVH3TRQUabQu_ym0Zz7PgGX0-kHA/edit?usp=sharing"",""แผน!EI69"")"),2300)</f>
        <v>2300</v>
      </c>
      <c r="J369" s="269">
        <f ca="1">IFERROR(__xludf.DUMMYFUNCTION("IMPORTRANGE(""https://docs.google.com/spreadsheets/d/1XWAQStnk-4SwqDmLtmXYiTMKHgktTP8We1SCoS47DrQ/edit?usp=sharing"",""จัดที่ดิน!F69"")"),2897.09)</f>
        <v>2897.09</v>
      </c>
      <c r="K369" s="497">
        <f t="shared" ca="1" si="63"/>
        <v>125.9604347826087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IFERROR(__xludf.DUMMYFUNCTION("IMPORTRANGE(""https://docs.google.com/spreadsheets/d/1QqKyyYR6Q21VydFLVH3TRQUabQu_ym0Zz7PgGX0-kHA/edit?usp=sharing"",""แผน!EJ69"")"),170)</f>
        <v>170</v>
      </c>
      <c r="J370" s="269">
        <f ca="1">IFERROR(__xludf.DUMMYFUNCTION("IMPORTRANGE(""https://docs.google.com/spreadsheets/d/1XWAQStnk-4SwqDmLtmXYiTMKHgktTP8We1SCoS47DrQ/edit?usp=sharing"",""จัดที่ดิน!G69"")"),200)</f>
        <v>200</v>
      </c>
      <c r="K370" s="497">
        <f t="shared" ca="1" si="63"/>
        <v>117.64705882352941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IFERROR(__xludf.DUMMYFUNCTION("IMPORTRANGE(""https://docs.google.com/spreadsheets/d/1XWAQStnk-4SwqDmLtmXYiTMKHgktTP8We1SCoS47DrQ/edit?usp=sharing"",""จัดที่ดิน!H69"")"),4586.84)</f>
        <v>4586.84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IFERROR(__xludf.DUMMYFUNCTION("IMPORTRANGE(""https://docs.google.com/spreadsheets/d/1QqKyyYR6Q21VydFLVH3TRQUabQu_ym0Zz7PgGX0-kHA/edit?usp=sharing"",""แผน!EJ69"")"),170)</f>
        <v>170</v>
      </c>
      <c r="J372" s="269">
        <f ca="1">IFERROR(__xludf.DUMMYFUNCTION("IMPORTRANGE(""https://docs.google.com/spreadsheets/d/1XWAQStnk-4SwqDmLtmXYiTMKHgktTP8We1SCoS47DrQ/edit?usp=sharing"",""จัดที่ดิน!I69"")"),196)</f>
        <v>196</v>
      </c>
      <c r="K372" s="497">
        <f t="shared" ca="1" si="63"/>
        <v>115.29411764705883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IFERROR(__xludf.DUMMYFUNCTION("IMPORTRANGE(""https://docs.google.com/spreadsheets/d/1XWAQStnk-4SwqDmLtmXYiTMKHgktTP8We1SCoS47DrQ/edit?usp=sharing"",""จัดที่ดิน!J69"")"),4489.92)</f>
        <v>4489.92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IFERROR(__xludf.DUMMYFUNCTION("IMPORTRANGE(""https://docs.google.com/spreadsheets/d/1QqKyyYR6Q21VydFLVH3TRQUabQu_ym0Zz7PgGX0-kHA/edit?usp=sharing"",""แผน!EU69"")"),468)</f>
        <v>468</v>
      </c>
      <c r="J374" s="490">
        <f ca="1">J381</f>
        <v>845</v>
      </c>
      <c r="K374" s="491">
        <f t="shared" ca="1" si="63"/>
        <v>180.55555555555554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IFERROR(__xludf.DUMMYFUNCTION("IMPORTRANGE(""https://docs.google.com/spreadsheets/d/1XWAQStnk-4SwqDmLtmXYiTMKHgktTP8We1SCoS47DrQ/edit?usp=sharing"",""จัดที่ดิน!AH69"")"),360)</f>
        <v>360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IFERROR(__xludf.DUMMYFUNCTION("IMPORTRANGE(""https://docs.google.com/spreadsheets/d/1QqKyyYR6Q21VydFLVH3TRQUabQu_ym0Zz7PgGX0-kHA/edit?usp=sharing"",""แผน!ET69"")"),4200)</f>
        <v>4200</v>
      </c>
      <c r="J378" s="269">
        <f ca="1">IFERROR(__xludf.DUMMYFUNCTION("IMPORTRANGE(""https://docs.google.com/spreadsheets/d/1XWAQStnk-4SwqDmLtmXYiTMKHgktTP8We1SCoS47DrQ/edit?usp=sharing"",""จัดที่ดิน!AI69"")"),4073.19)</f>
        <v>4073.19</v>
      </c>
      <c r="K378" s="497">
        <f t="shared" ca="1" si="64"/>
        <v>96.980714285714285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IFERROR(__xludf.DUMMYFUNCTION("IMPORTRANGE(""https://docs.google.com/spreadsheets/d/1QqKyyYR6Q21VydFLVH3TRQUabQu_ym0Zz7PgGX0-kHA/edit?usp=sharing"",""แผน!EU69"")"),468)</f>
        <v>468</v>
      </c>
      <c r="J379" s="269">
        <f ca="1">IFERROR(__xludf.DUMMYFUNCTION("IMPORTRANGE(""https://docs.google.com/spreadsheets/d/1XWAQStnk-4SwqDmLtmXYiTMKHgktTP8We1SCoS47DrQ/edit?usp=sharing"",""จัดที่ดิน!AJ69"")"),871)</f>
        <v>871</v>
      </c>
      <c r="K379" s="497">
        <f t="shared" ca="1" si="64"/>
        <v>186.11111111111111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IFERROR(__xludf.DUMMYFUNCTION("IMPORTRANGE(""https://docs.google.com/spreadsheets/d/1XWAQStnk-4SwqDmLtmXYiTMKHgktTP8We1SCoS47DrQ/edit?usp=sharing"",""จัดที่ดิน!AK69"")"),13167.16)</f>
        <v>13167.16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IFERROR(__xludf.DUMMYFUNCTION("IMPORTRANGE(""https://docs.google.com/spreadsheets/d/1QqKyyYR6Q21VydFLVH3TRQUabQu_ym0Zz7PgGX0-kHA/edit?usp=sharing"",""แผน!EU69"")"),468)</f>
        <v>468</v>
      </c>
      <c r="J381" s="269">
        <f ca="1">IFERROR(__xludf.DUMMYFUNCTION("IMPORTRANGE(""https://docs.google.com/spreadsheets/d/1XWAQStnk-4SwqDmLtmXYiTMKHgktTP8We1SCoS47DrQ/edit?usp=sharing"",""จัดที่ดิน!AL69"")"),845)</f>
        <v>845</v>
      </c>
      <c r="K381" s="497">
        <f t="shared" ca="1" si="64"/>
        <v>180.55555555555554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IFERROR(__xludf.DUMMYFUNCTION("IMPORTRANGE(""https://docs.google.com/spreadsheets/d/1XWAQStnk-4SwqDmLtmXYiTMKHgktTP8We1SCoS47DrQ/edit?usp=sharing"",""จัดที่ดิน!AM69"")"),12912.46)</f>
        <v>12912.46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IFERROR(__xludf.DUMMYFUNCTION("IMPORTRANGE(""https://docs.google.com/spreadsheets/d/1XWAQStnk-4SwqDmLtmXYiTMKHgktTP8We1SCoS47DrQ/edit?usp=sharing"",""จัดที่ดิน!AP69"")"),5)</f>
        <v>5</v>
      </c>
      <c r="K385" s="502">
        <f ca="1">IF(I385&gt;0,J385*100/I385,0)</f>
        <v>25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IFERROR(__xludf.DUMMYFUNCTION("IMPORTRANGE(""https://docs.google.com/spreadsheets/d/1MeEWN-I1oV_STSDYn1IFDPWt_1FKiwhDph83XaGc0o0/edit?usp=sharing"",""งบพรบ!FG69"")"),0)</f>
        <v>0</v>
      </c>
      <c r="M394" s="92">
        <f ca="1">IFERROR(__xludf.DUMMYFUNCTION("IMPORTRANGE(""https://docs.google.com/spreadsheets/d/1MeEWN-I1oV_STSDYn1IFDPWt_1FKiwhDph83XaGc0o0/edit?usp=sharing"",""งบพรบ!FL69"")"),0)</f>
        <v>0</v>
      </c>
      <c r="N394" s="92">
        <f ca="1">IFERROR(__xludf.DUMMYFUNCTION("IMPORTRANGE(""https://docs.google.com/spreadsheets/d/1MeEWN-I1oV_STSDYn1IFDPWt_1FKiwhDph83XaGc0o0/edit?usp=sharing"",""งบพรบ!FN69"")"),0)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IFERROR(__xludf.DUMMYFUNCTION("IMPORTRANGE(""https://docs.google.com/spreadsheets/d/1MeEWN-I1oV_STSDYn1IFDPWt_1FKiwhDph83XaGc0o0/edit?usp=sharing"",""งบพรบ!FJ69"")"),0)</f>
        <v>0</v>
      </c>
      <c r="M397" s="92">
        <f ca="1">IFERROR(__xludf.DUMMYFUNCTION("IMPORTRANGE(""https://docs.google.com/spreadsheets/d/1MeEWN-I1oV_STSDYn1IFDPWt_1FKiwhDph83XaGc0o0/edit?usp=sharing"",""งบพรบ!FM69"")"),0)</f>
        <v>0</v>
      </c>
      <c r="N397" s="92">
        <f ca="1">IFERROR(__xludf.DUMMYFUNCTION("IMPORTRANGE(""https://docs.google.com/spreadsheets/d/1MeEWN-I1oV_STSDYn1IFDPWt_1FKiwhDph83XaGc0o0/edit?usp=sharing"",""งบพรบ!FO69"")"),0)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IFERROR(__xludf.DUMMYFUNCTION("IMPORTRANGE(""https://docs.google.com/spreadsheets/d/1MeEWN-I1oV_STSDYn1IFDPWt_1FKiwhDph83XaGc0o0/edit?usp=sharing"",""งบพรบ!FQ69"")"),0)</f>
        <v>0</v>
      </c>
      <c r="M407" s="92">
        <f ca="1">IFERROR(__xludf.DUMMYFUNCTION("IMPORTRANGE(""https://docs.google.com/spreadsheets/d/1MeEWN-I1oV_STSDYn1IFDPWt_1FKiwhDph83XaGc0o0/edit?usp=sharing"",""งบพรบ!FV69"")"),0)</f>
        <v>0</v>
      </c>
      <c r="N407" s="92">
        <f ca="1">IFERROR(__xludf.DUMMYFUNCTION("IMPORTRANGE(""https://docs.google.com/spreadsheets/d/1MeEWN-I1oV_STSDYn1IFDPWt_1FKiwhDph83XaGc0o0/edit?usp=sharing"",""งบพรบ!FX69"")"),0)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IFERROR(__xludf.DUMMYFUNCTION("IMPORTRANGE(""https://docs.google.com/spreadsheets/d/1MeEWN-I1oV_STSDYn1IFDPWt_1FKiwhDph83XaGc0o0/edit?usp=sharing"",""งบพรบ!FT69"")"),0)</f>
        <v>0</v>
      </c>
      <c r="M410" s="92">
        <f ca="1">IFERROR(__xludf.DUMMYFUNCTION("IMPORTRANGE(""https://docs.google.com/spreadsheets/d/1MeEWN-I1oV_STSDYn1IFDPWt_1FKiwhDph83XaGc0o0/edit?usp=sharing"",""งบพรบ!FW69"")"),0)</f>
        <v>0</v>
      </c>
      <c r="N410" s="92">
        <f ca="1">IFERROR(__xludf.DUMMYFUNCTION("IMPORTRANGE(""https://docs.google.com/spreadsheets/d/1MeEWN-I1oV_STSDYn1IFDPWt_1FKiwhDph83XaGc0o0/edit?usp=sharing"",""งบพรบ!FY69"")"),0)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2242027</v>
      </c>
      <c r="M414" s="549">
        <f ca="1">M419+M444+M467+M502+M523+M544+M629+M655+M685+M737+M754+M770+M786+M805</f>
        <v>2142541.42</v>
      </c>
      <c r="N414" s="549">
        <f>N419+N444+N467+N502+N523+N544+N629+N655+N685+N737+N754+N770+N786+N805</f>
        <v>2142541.42</v>
      </c>
      <c r="O414" s="549">
        <f ca="1">IF(L414&gt;0,N414*100/L414,0)</f>
        <v>95.562694829277262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93360</v>
      </c>
      <c r="N419" s="154">
        <f>N420+N421</f>
        <v>93360</v>
      </c>
      <c r="O419" s="154">
        <f t="shared" ref="O419:O424" ca="1" si="71">IF(L419&gt;0,N419*100/L419,0)</f>
        <v>118.68802440884821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93360</v>
      </c>
      <c r="N421" s="92">
        <f t="shared" si="73"/>
        <v>93360</v>
      </c>
      <c r="O421" s="92">
        <f t="shared" ca="1" si="71"/>
        <v>118.68802440884821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93360</v>
      </c>
      <c r="N422" s="497">
        <f>N423+N424</f>
        <v>93360</v>
      </c>
      <c r="O422" s="497">
        <f t="shared" ca="1" si="71"/>
        <v>118.68802440884821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IFERROR(__xludf.DUMMYFUNCTION("IMPORTRANGE(""https://docs.google.com/spreadsheets/d/1QqKyyYR6Q21VydFLVH3TRQUabQu_ym0Zz7PgGX0-kHA/edit?usp=sharing"",""แผน!EY69"")"),78660)</f>
        <v>78660</v>
      </c>
      <c r="M424" s="92">
        <f ca="1">L424+14700</f>
        <v>93360</v>
      </c>
      <c r="N424" s="92">
        <f>N425+N426+N427+N428</f>
        <v>93360</v>
      </c>
      <c r="O424" s="92">
        <f t="shared" ca="1" si="71"/>
        <v>118.68802440884821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44960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IFERROR(__xludf.DUMMYFUNCTION("IMPORTRANGE(""https://docs.google.com/spreadsheets/d/1QqKyyYR6Q21VydFLVH3TRQUabQu_ym0Zz7PgGX0-kHA/edit?usp=sharing"",""แผน!FB69"")"),0)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IFERROR(__xludf.DUMMYFUNCTION("IMPORTRANGE(""https://docs.google.com/spreadsheets/d/1QqKyyYR6Q21VydFLVH3TRQUabQu_ym0Zz7PgGX0-kHA/edit?usp=sharing"",""แผน!FE69"")"),0)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IFERROR(__xludf.DUMMYFUNCTION("IMPORTRANGE(""https://docs.google.com/spreadsheets/d/1QqKyyYR6Q21VydFLVH3TRQUabQu_ym0Zz7PgGX0-kHA/edit?usp=sharing"",""แผน!FG69"")"),1)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IFERROR(__xludf.DUMMYFUNCTION("IMPORTRANGE(""https://docs.google.com/spreadsheets/d/1QqKyyYR6Q21VydFLVH3TRQUabQu_ym0Zz7PgGX0-kHA/edit?usp=sharing"",""แผน!FH69"")"),0)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IFERROR(__xludf.DUMMYFUNCTION("IMPORTRANGE(""https://docs.google.com/spreadsheets/d/1QqKyyYR6Q21VydFLVH3TRQUabQu_ym0Zz7PgGX0-kHA/edit?usp=sharing"",""แผน!FJ69"")"),0)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IFERROR(__xludf.DUMMYFUNCTION("IMPORTRANGE(""https://docs.google.com/spreadsheets/d/1QqKyyYR6Q21VydFLVH3TRQUabQu_ym0Zz7PgGX0-kHA/edit?usp=sharing"",""แผน!FM69"")"),0)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IFERROR(__xludf.DUMMYFUNCTION("IMPORTRANGE(""https://docs.google.com/spreadsheets/d/1QqKyyYR6Q21VydFLVH3TRQUabQu_ym0Zz7PgGX0-kHA/edit?usp=sharing"",""แผน!FN69"")"),0)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IFERROR(__xludf.DUMMYFUNCTION("IMPORTRANGE(""https://docs.google.com/spreadsheets/d/1QqKyyYR6Q21VydFLVH3TRQUabQu_ym0Zz7PgGX0-kHA/edit?usp=sharing"",""แผน!FO69"")"),0)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IFERROR(__xludf.DUMMYFUNCTION("IMPORTRANGE(""https://docs.google.com/spreadsheets/d/1QqKyyYR6Q21VydFLVH3TRQUabQu_ym0Zz7PgGX0-kHA/edit?usp=sharing"",""แผน!FO69"")"),0)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IFERROR(__xludf.DUMMYFUNCTION("IMPORTRANGE(""https://docs.google.com/spreadsheets/d/1QqKyyYR6Q21VydFLVH3TRQUabQu_ym0Zz7PgGX0-kHA/edit?usp=sharing"",""แผน!FN69"")"),0)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500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403983</v>
      </c>
      <c r="M467" s="194">
        <f ca="1">M468+M469</f>
        <v>409553</v>
      </c>
      <c r="N467" s="194">
        <f>N468+N469</f>
        <v>409553</v>
      </c>
      <c r="O467" s="194">
        <f t="shared" ref="O467:O472" ca="1" si="78">IF(L467&gt;0,N467*100/L467,0)</f>
        <v>101.37877088887403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403983</v>
      </c>
      <c r="M469" s="92">
        <f t="shared" ca="1" si="80"/>
        <v>409553</v>
      </c>
      <c r="N469" s="92">
        <f t="shared" si="80"/>
        <v>409553</v>
      </c>
      <c r="O469" s="92">
        <f t="shared" ca="1" si="78"/>
        <v>101.37877088887403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403983</v>
      </c>
      <c r="M470" s="497">
        <f ca="1">M471+M472</f>
        <v>409553</v>
      </c>
      <c r="N470" s="497">
        <f>N471+N472</f>
        <v>409553</v>
      </c>
      <c r="O470" s="497">
        <f t="shared" ca="1" si="78"/>
        <v>101.37877088887403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IFERROR(__xludf.DUMMYFUNCTION("IMPORTRANGE(""https://docs.google.com/spreadsheets/d/1QqKyyYR6Q21VydFLVH3TRQUabQu_ym0Zz7PgGX0-kHA/edit?usp=sharing"",""แผน!FS69"")"),403983)</f>
        <v>403983</v>
      </c>
      <c r="M472" s="92">
        <f ca="1">L472+5570</f>
        <v>409553</v>
      </c>
      <c r="N472" s="92">
        <f>N473+N474+N475+N476</f>
        <v>409553</v>
      </c>
      <c r="O472" s="92">
        <f t="shared" ca="1" si="78"/>
        <v>101.37877088887403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66023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29530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IFERROR(__xludf.DUMMYFUNCTION("IMPORTRANGE(""https://docs.google.com/spreadsheets/d/1QqKyyYR6Q21VydFLVH3TRQUabQu_ym0Zz7PgGX0-kHA/edit?usp=sharing"",""แผน!FV69"")"),0)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IFERROR(__xludf.DUMMYFUNCTION("IMPORTRANGE(""https://docs.google.com/spreadsheets/d/1QqKyyYR6Q21VydFLVH3TRQUabQu_ym0Zz7PgGX0-kHA/edit?usp=sharing"",""แผน!FY69"")"),450)</f>
        <v>450</v>
      </c>
      <c r="J483" s="214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IFERROR(__xludf.DUMMYFUNCTION("IMPORTRANGE(""https://docs.google.com/spreadsheets/d/1QqKyyYR6Q21VydFLVH3TRQUabQu_ym0Zz7PgGX0-kHA/edit?usp=sharing"",""แผน!FZ69"")"),45)</f>
        <v>45</v>
      </c>
      <c r="J485" s="214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IFERROR(__xludf.DUMMYFUNCTION("IMPORTRANGE(""https://docs.google.com/spreadsheets/d/1QqKyyYR6Q21VydFLVH3TRQUabQu_ym0Zz7PgGX0-kHA/edit?usp=sharing"",""แผน!GA69"")"),50)</f>
        <v>50</v>
      </c>
      <c r="J487" s="214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IFERROR(__xludf.DUMMYFUNCTION("IMPORTRANGE(""https://docs.google.com/spreadsheets/d/1QqKyyYR6Q21VydFLVH3TRQUabQu_ym0Zz7PgGX0-kHA/edit?usp=sharing"",""แผน!GB69"")"),5)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IFERROR(__xludf.DUMMYFUNCTION("IMPORTRANGE(""https://docs.google.com/spreadsheets/d/1QqKyyYR6Q21VydFLVH3TRQUabQu_ym0Zz7PgGX0-kHA/edit?usp=sharing"",""แผน!GC69"")"),1)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IFERROR(__xludf.DUMMYFUNCTION("IMPORTRANGE(""https://docs.google.com/spreadsheets/d/1QqKyyYR6Q21VydFLVH3TRQUabQu_ym0Zz7PgGX0-kHA/edit?usp=sharing"",""แผน!FY69"")"),450)</f>
        <v>450</v>
      </c>
      <c r="J495" s="214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IFERROR(__xludf.DUMMYFUNCTION("IMPORTRANGE(""https://docs.google.com/spreadsheets/d/1QqKyyYR6Q21VydFLVH3TRQUabQu_ym0Zz7PgGX0-kHA/edit?usp=sharing"",""แผน!GA69"")"),50)</f>
        <v>50</v>
      </c>
      <c r="J498" s="214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50</v>
      </c>
      <c r="J522" s="703">
        <f ca="1">J537</f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427460</v>
      </c>
      <c r="M523" s="194">
        <f ca="1">M524+M525</f>
        <v>444060</v>
      </c>
      <c r="N523" s="194">
        <f>N524+N525</f>
        <v>444060</v>
      </c>
      <c r="O523" s="194">
        <f t="shared" ref="O523:O528" ca="1" si="84">IF(L523&gt;0,N523*100/L523,0)</f>
        <v>103.88340429513873</v>
      </c>
      <c r="P523" s="194">
        <f t="shared" ref="P523:P528" ca="1" si="85">IF(M523&gt;0,N523*100/M523,0)</f>
        <v>100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427460</v>
      </c>
      <c r="M525" s="92">
        <f t="shared" ca="1" si="86"/>
        <v>444060</v>
      </c>
      <c r="N525" s="92">
        <f t="shared" si="86"/>
        <v>444060</v>
      </c>
      <c r="O525" s="92">
        <f t="shared" ca="1" si="84"/>
        <v>103.88340429513873</v>
      </c>
      <c r="P525" s="92">
        <f t="shared" ca="1" si="85"/>
        <v>100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427460</v>
      </c>
      <c r="M526" s="497">
        <f ca="1">M527+M528</f>
        <v>444060</v>
      </c>
      <c r="N526" s="497">
        <f>N527+N528</f>
        <v>444060</v>
      </c>
      <c r="O526" s="497">
        <f t="shared" ca="1" si="84"/>
        <v>103.88340429513873</v>
      </c>
      <c r="P526" s="497">
        <f t="shared" ca="1" si="85"/>
        <v>100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IFERROR(__xludf.DUMMYFUNCTION("IMPORTRANGE(""https://docs.google.com/spreadsheets/d/1QqKyyYR6Q21VydFLVH3TRQUabQu_ym0Zz7PgGX0-kHA/edit?usp=sharing"",""แผน!GQ69"")"),427460)</f>
        <v>427460</v>
      </c>
      <c r="M528" s="92">
        <f ca="1">L528+16600</f>
        <v>444060</v>
      </c>
      <c r="N528" s="92">
        <f>N529+N530+N531+N532</f>
        <v>444060</v>
      </c>
      <c r="O528" s="92">
        <f t="shared" ca="1" si="84"/>
        <v>103.88340429513873</v>
      </c>
      <c r="P528" s="92">
        <f t="shared" ca="1" si="85"/>
        <v>100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161300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32760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IFERROR(__xludf.DUMMYFUNCTION("IMPORTRANGE(""https://docs.google.com/spreadsheets/d/1QqKyyYR6Q21VydFLVH3TRQUabQu_ym0Zz7PgGX0-kHA/edit?usp=sharing"",""แผน!GT69"")"),0)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IFERROR(__xludf.DUMMYFUNCTION("IMPORTRANGE(""https://docs.google.com/spreadsheets/d/1QqKyyYR6Q21VydFLVH3TRQUabQu_ym0Zz7PgGX0-kHA/edit?usp=sharing"",""แผน!GV69"")"),50)</f>
        <v>50</v>
      </c>
      <c r="J538" s="214">
        <v>50</v>
      </c>
      <c r="K538" s="497">
        <f t="shared" ca="1" si="87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IFERROR(__xludf.DUMMYFUNCTION("IMPORTRANGE(""https://docs.google.com/spreadsheets/d/1QqKyyYR6Q21VydFLVH3TRQUabQu_ym0Zz7PgGX0-kHA/edit?usp=sharing"",""แผน!GW69"")"),0)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IFERROR(__xludf.DUMMYFUNCTION("IMPORTRANGE(""https://docs.google.com/spreadsheets/d/1QqKyyYR6Q21VydFLVH3TRQUabQu_ym0Zz7PgGX0-kHA/edit?usp=sharing"",""แผน!GX69"")"),0)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IFERROR(__xludf.DUMMYFUNCTION("IMPORTRANGE(""https://docs.google.com/spreadsheets/d/1QqKyyYR6Q21VydFLVH3TRQUabQu_ym0Zz7PgGX0-kHA/edit?usp=sharing"",""แผน!GY69"")"),50)</f>
        <v>50</v>
      </c>
      <c r="J541" s="214">
        <v>50</v>
      </c>
      <c r="K541" s="497">
        <f t="shared" ca="1" si="87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IFERROR(__xludf.DUMMYFUNCTION("IMPORTRANGE(""https://docs.google.com/spreadsheets/d/1QqKyyYR6Q21VydFLVH3TRQUabQu_ym0Zz7PgGX0-kHA/edit?usp=sharing"",""แผน!GZ69"")"),50)</f>
        <v>50</v>
      </c>
      <c r="J542" s="214">
        <v>50</v>
      </c>
      <c r="K542" s="497">
        <f t="shared" ca="1" si="87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132197.27499999999</v>
      </c>
      <c r="J543" s="682">
        <f>J559</f>
        <v>132197.27499999999</v>
      </c>
      <c r="K543" s="683">
        <f t="shared" ca="1" si="87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619384</v>
      </c>
      <c r="M544" s="154">
        <f ca="1">M545+M546</f>
        <v>604692.61</v>
      </c>
      <c r="N544" s="154">
        <f>N545+N546</f>
        <v>604692.61</v>
      </c>
      <c r="O544" s="154">
        <f t="shared" ref="O544:O549" ca="1" si="88">IF(L544&gt;0,N544*100/L544,0)</f>
        <v>97.628064334887569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619384</v>
      </c>
      <c r="M546" s="92">
        <f ca="1">M549+M556</f>
        <v>604692.61</v>
      </c>
      <c r="N546" s="92">
        <f>N549+N556</f>
        <v>604692.61</v>
      </c>
      <c r="O546" s="92">
        <f t="shared" ca="1" si="88"/>
        <v>97.628064334887569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619384</v>
      </c>
      <c r="M547" s="497">
        <f ca="1">M548+M549</f>
        <v>604692.61</v>
      </c>
      <c r="N547" s="497">
        <f>N548+N549</f>
        <v>604692.61</v>
      </c>
      <c r="O547" s="497">
        <f t="shared" ca="1" si="88"/>
        <v>97.628064334887569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IFERROR(__xludf.DUMMYFUNCTION("IMPORTRANGE(""https://docs.google.com/spreadsheets/d/1QqKyyYR6Q21VydFLVH3TRQUabQu_ym0Zz7PgGX0-kHA/edit?usp=sharing"",""แผน!HB69"")"),619384)</f>
        <v>619384</v>
      </c>
      <c r="M549" s="92">
        <f ca="1">L549-14691.39</f>
        <v>604692.61</v>
      </c>
      <c r="N549" s="92">
        <f>N550+N551+N552+N553+N554</f>
        <v>604692.61</v>
      </c>
      <c r="O549" s="92">
        <f t="shared" ca="1" si="88"/>
        <v>97.628064334887569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125750.55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476384+2558.06</f>
        <v>478942.06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IFERROR(__xludf.DUMMYFUNCTION("IMPORTRANGE(""https://docs.google.com/spreadsheets/d/1QqKyyYR6Q21VydFLVH3TRQUabQu_ym0Zz7PgGX0-kHA/edit?usp=sharing"",""แผน!HF69"")"),0)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132197.27499999999</v>
      </c>
      <c r="J559" s="703">
        <f>J576</f>
        <v>132197.27499999999</v>
      </c>
      <c r="K559" s="672">
        <f ca="1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IFERROR(__xludf.DUMMYFUNCTION("IMPORTRANGE(""https://docs.google.com/spreadsheets/d/1QqKyyYR6Q21VydFLVH3TRQUabQu_ym0Zz7PgGX0-kHA/edit?usp=sharing"",""แผน!HH69"")"),132197.275)</f>
        <v>132197.27499999999</v>
      </c>
      <c r="J560" s="192">
        <f>J562+J564+J566</f>
        <v>132197</v>
      </c>
      <c r="K560" s="410">
        <f ca="1">IF(I560&gt;0,J560*100/I560,0)</f>
        <v>99.999791977557791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IFERROR(__xludf.DUMMYFUNCTION("IMPORTRANGE(""https://docs.google.com/spreadsheets/d/1QqKyyYR6Q21VydFLVH3TRQUabQu_ym0Zz7PgGX0-kHA/edit?usp=sharing"",""แผน!HG69"")"),11643)</f>
        <v>11643</v>
      </c>
      <c r="J561" s="192">
        <f>J563+J565+J567</f>
        <v>11643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108485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10096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19271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1194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4441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353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IFERROR(__xludf.DUMMYFUNCTION("IMPORTRANGE(""https://docs.google.com/spreadsheets/d/1QqKyyYR6Q21VydFLVH3TRQUabQu_ym0Zz7PgGX0-kHA/edit?usp=sharing"",""แผน!HH69"")"),132197.275)</f>
        <v>132197.27499999999</v>
      </c>
      <c r="J568" s="676">
        <f>J570+J572+J574</f>
        <v>132197</v>
      </c>
      <c r="K568" s="410">
        <f ca="1">IF(I568&gt;0,J568*100/I568,0)</f>
        <v>99.999791977557791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IFERROR(__xludf.DUMMYFUNCTION("IMPORTRANGE(""https://docs.google.com/spreadsheets/d/1QqKyyYR6Q21VydFLVH3TRQUabQu_ym0Zz7PgGX0-kHA/edit?usp=sharing"",""แผน!HG69"")"),11643)</f>
        <v>11643</v>
      </c>
      <c r="J569" s="676">
        <f>J571+J573+J575</f>
        <v>11643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121239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10647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5462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591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5496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405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IFERROR(__xludf.DUMMYFUNCTION("IMPORTRANGE(""https://docs.google.com/spreadsheets/d/1QqKyyYR6Q21VydFLVH3TRQUabQu_ym0Zz7PgGX0-kHA/edit?usp=sharing"",""แผน!HH69"")"),132197.275)</f>
        <v>132197.27499999999</v>
      </c>
      <c r="J576" s="676">
        <f>J578+J580+J582+J588+J590</f>
        <v>132197.27499999999</v>
      </c>
      <c r="K576" s="410">
        <f ca="1">IF(I576&gt;0,J576*100/I576,0)</f>
        <v>100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IFERROR(__xludf.DUMMYFUNCTION("IMPORTRANGE(""https://docs.google.com/spreadsheets/d/1QqKyyYR6Q21VydFLVH3TRQUabQu_ym0Zz7PgGX0-kHA/edit?usp=sharing"",""แผน!HG69"")"),11643)</f>
        <v>11643</v>
      </c>
      <c r="J577" s="676">
        <f>J579+J581+J583+J589+J591</f>
        <v>11643</v>
      </c>
      <c r="K577" s="410">
        <f ca="1">IF(I577&gt;0,J577*100/I577,0)</f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120400.3775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10804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50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1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5525.2674999999999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406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5496.3024999999998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405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28.965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1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6221.63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432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6889.23</v>
      </c>
      <c r="J592" s="703">
        <f>J593</f>
        <v>6890</v>
      </c>
      <c r="K592" s="672">
        <f ca="1">IF(I592&gt;0,J592*100/I592,0)</f>
        <v>100.01117686591971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2">
        <f>J595+J603+J609</f>
        <v>6890</v>
      </c>
      <c r="K593" s="410">
        <f ca="1">IF(I593&gt;0,J593*100/I593,0)</f>
        <v>100.01117686591971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IFERROR(__xludf.DUMMYFUNCTION("IMPORTRANGE(""https://docs.google.com/spreadsheets/d/1QqKyyYR6Q21VydFLVH3TRQUabQu_ym0Zz7PgGX0-kHA/edit?usp=sharing"",""แผน!HI69"")"),387)</f>
        <v>387</v>
      </c>
      <c r="J594" s="192">
        <f>J596+J604+J610</f>
        <v>387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6697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374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2261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173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4436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201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193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13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159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12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34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1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>J622+J624+J626</f>
        <v>267</v>
      </c>
      <c r="K620" s="724">
        <f ca="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>J623+J625+J627</f>
        <v>22</v>
      </c>
      <c r="K621" s="724">
        <f ca="1">IF(I621&gt;0,J621*100/I621,0)</f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17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1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250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21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100</v>
      </c>
      <c r="J628" s="736">
        <f ca="1">J651</f>
        <v>102</v>
      </c>
      <c r="K628" s="737">
        <f ca="1">IF(I628&gt;0,J628*100/I628,0)</f>
        <v>102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364940</v>
      </c>
      <c r="M629" s="194">
        <f ca="1">M630+M631</f>
        <v>311750.53999999998</v>
      </c>
      <c r="N629" s="194">
        <f>N630+N631</f>
        <v>311750.54000000004</v>
      </c>
      <c r="O629" s="194">
        <f t="shared" ref="O629:O634" ca="1" si="90">IF(L629&gt;0,N629*100/L629,0)</f>
        <v>85.425149339617477</v>
      </c>
      <c r="P629" s="194">
        <f t="shared" ref="P629:P634" ca="1" si="91">IF(M629&gt;0,N629*100/M629,0)</f>
        <v>100.00000000000001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364940</v>
      </c>
      <c r="M631" s="92">
        <f t="shared" ca="1" si="92"/>
        <v>311750.53999999998</v>
      </c>
      <c r="N631" s="92">
        <f t="shared" si="92"/>
        <v>311750.54000000004</v>
      </c>
      <c r="O631" s="92">
        <f t="shared" ca="1" si="90"/>
        <v>85.425149339617477</v>
      </c>
      <c r="P631" s="92">
        <f t="shared" ca="1" si="91"/>
        <v>100.00000000000001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364940</v>
      </c>
      <c r="M632" s="497">
        <f ca="1">M633+M634</f>
        <v>311750.53999999998</v>
      </c>
      <c r="N632" s="497">
        <f>N633+N634</f>
        <v>311750.54000000004</v>
      </c>
      <c r="O632" s="497">
        <f t="shared" ca="1" si="90"/>
        <v>85.425149339617477</v>
      </c>
      <c r="P632" s="497">
        <f t="shared" ca="1" si="91"/>
        <v>100.00000000000001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IFERROR(__xludf.DUMMYFUNCTION("IMPORTRANGE(""https://docs.google.com/spreadsheets/d/1QqKyyYR6Q21VydFLVH3TRQUabQu_ym0Zz7PgGX0-kHA/edit?usp=sharing"",""แผน!HN69"")"),364940)</f>
        <v>364940</v>
      </c>
      <c r="M634" s="92">
        <f ca="1">L634-1705.38-51484.08</f>
        <v>311750.53999999998</v>
      </c>
      <c r="N634" s="92">
        <f>N635+N636+N637+N638</f>
        <v>311750.54000000004</v>
      </c>
      <c r="O634" s="92">
        <f t="shared" ca="1" si="90"/>
        <v>85.425149339617477</v>
      </c>
      <c r="P634" s="92">
        <f t="shared" ca="1" si="91"/>
        <v>100.00000000000001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138750.54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173000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IFERROR(__xludf.DUMMYFUNCTION("IMPORTRANGE(""https://docs.google.com/spreadsheets/d/1QqKyyYR6Q21VydFLVH3TRQUabQu_ym0Zz7PgGX0-kHA/edit?usp=sharing"",""แผน!HQ69"")"),0)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IFERROR(__xludf.DUMMYFUNCTION("IMPORTRANGE(""https://docs.google.com/spreadsheets/d/1QqKyyYR6Q21VydFLVH3TRQUabQu_ym0Zz7PgGX0-kHA/edit?usp=sharing"",""แผน!HR69"")"),0)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IFERROR(__xludf.DUMMYFUNCTION("IMPORTRANGE(""https://docs.google.com/spreadsheets/d/1QqKyyYR6Q21VydFLVH3TRQUabQu_ym0Zz7PgGX0-kHA/edit?usp=sharing"",""แผน!HR69"")"),0)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IFERROR(__xludf.DUMMYFUNCTION("IMPORTRANGE(""https://docs.google.com/spreadsheets/d/1XWAQStnk-4SwqDmLtmXYiTMKHgktTP8We1SCoS47DrQ/edit?usp=sharing"",""จัดที่ดิน!AS69"")"),103)</f>
        <v>103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IFERROR(__xludf.DUMMYFUNCTION("IMPORTRANGE(""https://docs.google.com/spreadsheets/d/1XWAQStnk-4SwqDmLtmXYiTMKHgktTP8We1SCoS47DrQ/edit?usp=sharing"",""จัดที่ดิน!AT69"")"),119.4)</f>
        <v>119.4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IFERROR(__xludf.DUMMYFUNCTION("IMPORTRANGE(""https://docs.google.com/spreadsheets/d/1QqKyyYR6Q21VydFLVH3TRQUabQu_ym0Zz7PgGX0-kHA/edit?usp=sharing"",""แผน!HS69"")"),100)</f>
        <v>100</v>
      </c>
      <c r="J647" s="269">
        <f ca="1">IFERROR(__xludf.DUMMYFUNCTION("IMPORTRANGE(""https://docs.google.com/spreadsheets/d/1XWAQStnk-4SwqDmLtmXYiTMKHgktTP8We1SCoS47DrQ/edit?usp=sharing"",""จัดที่ดิน!AU69"")"),102)</f>
        <v>102</v>
      </c>
      <c r="K647" s="162">
        <f t="shared" ca="1" si="93"/>
        <v>102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IFERROR(__xludf.DUMMYFUNCTION("IMPORTRANGE(""https://docs.google.com/spreadsheets/d/1XWAQStnk-4SwqDmLtmXYiTMKHgktTP8We1SCoS47DrQ/edit?usp=sharing"",""จัดที่ดิน!AV69"")"),120.11)</f>
        <v>120.11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IFERROR(__xludf.DUMMYFUNCTION("IMPORTRANGE(""https://docs.google.com/spreadsheets/d/1QqKyyYR6Q21VydFLVH3TRQUabQu_ym0Zz7PgGX0-kHA/edit?usp=sharing"",""แผน!HS69"")"),100)</f>
        <v>100</v>
      </c>
      <c r="J649" s="269">
        <f ca="1">IFERROR(__xludf.DUMMYFUNCTION("IMPORTRANGE(""https://docs.google.com/spreadsheets/d/1XWAQStnk-4SwqDmLtmXYiTMKHgktTP8We1SCoS47DrQ/edit?usp=sharing"",""จัดที่ดิน!AW69"")"),102)</f>
        <v>102</v>
      </c>
      <c r="K649" s="162">
        <f t="shared" ca="1" si="93"/>
        <v>102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IFERROR(__xludf.DUMMYFUNCTION("IMPORTRANGE(""https://docs.google.com/spreadsheets/d/1XWAQStnk-4SwqDmLtmXYiTMKHgktTP8We1SCoS47DrQ/edit?usp=sharing"",""จัดที่ดิน!AX69"")"),117.73)</f>
        <v>117.73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IFERROR(__xludf.DUMMYFUNCTION("IMPORTRANGE(""https://docs.google.com/spreadsheets/d/1QqKyyYR6Q21VydFLVH3TRQUabQu_ym0Zz7PgGX0-kHA/edit?usp=sharing"",""แผน!HS69"")"),100)</f>
        <v>100</v>
      </c>
      <c r="J651" s="269">
        <f ca="1">IFERROR(__xludf.DUMMYFUNCTION("IMPORTRANGE(""https://docs.google.com/spreadsheets/d/1XWAQStnk-4SwqDmLtmXYiTMKHgktTP8We1SCoS47DrQ/edit?usp=sharing"",""จัดที่ดิน!AY69"")"),102)</f>
        <v>102</v>
      </c>
      <c r="K651" s="162">
        <f t="shared" ca="1" si="93"/>
        <v>102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IFERROR(__xludf.DUMMYFUNCTION("IMPORTRANGE(""https://docs.google.com/spreadsheets/d/1XWAQStnk-4SwqDmLtmXYiTMKHgktTP8We1SCoS47DrQ/edit?usp=sharing"",""จัดที่ดิน!AZ69"")"),117.7325)</f>
        <v>117.7325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11400</v>
      </c>
      <c r="N655" s="194">
        <f>N656+N657</f>
        <v>11400</v>
      </c>
      <c r="O655" s="194">
        <f t="shared" ref="O655:O660" ca="1" si="94">IF(L655&gt;0,N655*100/L655,0)</f>
        <v>91.935483870967744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11400</v>
      </c>
      <c r="N657" s="92">
        <f t="shared" si="96"/>
        <v>11400</v>
      </c>
      <c r="O657" s="92">
        <f t="shared" ca="1" si="94"/>
        <v>91.935483870967744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11400</v>
      </c>
      <c r="N658" s="497">
        <f>N659+N660</f>
        <v>11400</v>
      </c>
      <c r="O658" s="497">
        <f t="shared" ca="1" si="94"/>
        <v>91.935483870967744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IFERROR(__xludf.DUMMYFUNCTION("IMPORTRANGE(""https://docs.google.com/spreadsheets/d/1QqKyyYR6Q21VydFLVH3TRQUabQu_ym0Zz7PgGX0-kHA/edit?usp=sharing"",""แผน!HV69"")"),12400)</f>
        <v>12400</v>
      </c>
      <c r="M660" s="92">
        <f ca="1">L660-1000</f>
        <v>11400</v>
      </c>
      <c r="N660" s="92">
        <f>N661+N662+N663+N664</f>
        <v>11400</v>
      </c>
      <c r="O660" s="92">
        <f t="shared" ca="1" si="94"/>
        <v>91.935483870967744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11400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IFERROR(__xludf.DUMMYFUNCTION("IMPORTRANGE(""https://docs.google.com/spreadsheets/d/1QqKyyYR6Q21VydFLVH3TRQUabQu_ym0Zz7PgGX0-kHA/edit?usp=sharing"",""แผน!HZ69"")"),4)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IFERROR(__xludf.DUMMYFUNCTION("IMPORTRANGE(""https://docs.google.com/spreadsheets/d/1QqKyyYR6Q21VydFLVH3TRQUabQu_ym0Zz7PgGX0-kHA/edit?usp=sharing"",""แผน!HZ69"")"),4)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IFERROR(__xludf.DUMMYFUNCTION("IMPORTRANGE(""https://docs.google.com/spreadsheets/d/1QqKyyYR6Q21VydFLVH3TRQUabQu_ym0Zz7PgGX0-kHA/edit?usp=sharing"",""แผน!HW69"")"),0)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69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69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69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69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69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69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69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01" t="s">
        <v>46</v>
      </c>
      <c r="I785" s="802">
        <f ca="1">I801+I803</f>
        <v>5000</v>
      </c>
      <c r="J785" s="802">
        <f ca="1">J801+J803</f>
        <v>5066</v>
      </c>
      <c r="K785" s="803">
        <f ca="1">IF(I785&gt;0,J785*100/I785,0)</f>
        <v>101.32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805" t="s">
        <v>12</v>
      </c>
      <c r="I786" s="806"/>
      <c r="J786" s="806"/>
      <c r="K786" s="807"/>
      <c r="L786" s="194">
        <f ca="1">L787+L788</f>
        <v>335200</v>
      </c>
      <c r="M786" s="194">
        <f ca="1">M787+M788</f>
        <v>267725.27</v>
      </c>
      <c r="N786" s="194">
        <f>N787+N788</f>
        <v>267725.27</v>
      </c>
      <c r="O786" s="194">
        <f t="shared" ref="O786:O791" ca="1" si="107">IF(L786&gt;0,N786*100/L786,0)</f>
        <v>79.870307279236272</v>
      </c>
      <c r="P786" s="194">
        <f t="shared" ref="P786:P791" ca="1" si="108">IF(M786&gt;0,N786*100/M786,0)</f>
        <v>100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808" t="s">
        <v>12</v>
      </c>
      <c r="I787" s="806"/>
      <c r="J787" s="806"/>
      <c r="K787" s="807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808" t="s">
        <v>12</v>
      </c>
      <c r="I788" s="806"/>
      <c r="J788" s="806"/>
      <c r="K788" s="807"/>
      <c r="L788" s="92">
        <f t="shared" ca="1" si="109"/>
        <v>335200</v>
      </c>
      <c r="M788" s="92">
        <f t="shared" ca="1" si="109"/>
        <v>267725.27</v>
      </c>
      <c r="N788" s="92">
        <f t="shared" si="109"/>
        <v>267725.27</v>
      </c>
      <c r="O788" s="92">
        <f t="shared" ca="1" si="107"/>
        <v>79.870307279236272</v>
      </c>
      <c r="P788" s="92">
        <f t="shared" ca="1" si="108"/>
        <v>100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8"/>
      <c r="H789" s="809" t="s">
        <v>12</v>
      </c>
      <c r="I789" s="810"/>
      <c r="J789" s="810"/>
      <c r="K789" s="811"/>
      <c r="L789" s="497">
        <f ca="1">L790+L791</f>
        <v>335200</v>
      </c>
      <c r="M789" s="497">
        <f ca="1">M790+M791</f>
        <v>267725.27</v>
      </c>
      <c r="N789" s="497">
        <f>N790+N791</f>
        <v>267725.27</v>
      </c>
      <c r="O789" s="497">
        <f t="shared" ca="1" si="107"/>
        <v>79.870307279236272</v>
      </c>
      <c r="P789" s="497">
        <f t="shared" ca="1" si="108"/>
        <v>100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808" t="s">
        <v>12</v>
      </c>
      <c r="I790" s="806"/>
      <c r="J790" s="806"/>
      <c r="K790" s="807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808" t="s">
        <v>12</v>
      </c>
      <c r="I791" s="806"/>
      <c r="J791" s="806"/>
      <c r="K791" s="807"/>
      <c r="L791" s="92">
        <f ca="1">IFERROR(__xludf.DUMMYFUNCTION("IMPORTRANGE(""https://docs.google.com/spreadsheets/d/1QqKyyYR6Q21VydFLVH3TRQUabQu_ym0Zz7PgGX0-kHA/edit?usp=sharing"",""แผน!JJ69"")"),335200)</f>
        <v>335200</v>
      </c>
      <c r="M791" s="92">
        <f ca="1">L791-64916.67-2558.06</f>
        <v>267725.27</v>
      </c>
      <c r="N791" s="92">
        <f>N792+N793+N794+N795</f>
        <v>267725.27</v>
      </c>
      <c r="O791" s="92">
        <f t="shared" ca="1" si="107"/>
        <v>79.870307279236272</v>
      </c>
      <c r="P791" s="92">
        <f t="shared" ca="1" si="108"/>
        <v>100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186</v>
      </c>
      <c r="G792" s="188"/>
      <c r="H792" s="809" t="s">
        <v>12</v>
      </c>
      <c r="I792" s="806"/>
      <c r="J792" s="806"/>
      <c r="K792" s="80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187</v>
      </c>
      <c r="G793" s="188"/>
      <c r="H793" s="809" t="s">
        <v>12</v>
      </c>
      <c r="I793" s="806"/>
      <c r="J793" s="806"/>
      <c r="K793" s="80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188</v>
      </c>
      <c r="G794" s="188"/>
      <c r="H794" s="809" t="s">
        <v>12</v>
      </c>
      <c r="I794" s="806"/>
      <c r="J794" s="806"/>
      <c r="K794" s="807"/>
      <c r="L794" s="497"/>
      <c r="M794" s="497"/>
      <c r="N794" s="283">
        <v>103133.33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189</v>
      </c>
      <c r="G795" s="188"/>
      <c r="H795" s="809" t="s">
        <v>12</v>
      </c>
      <c r="I795" s="806"/>
      <c r="J795" s="806"/>
      <c r="K795" s="807"/>
      <c r="L795" s="497"/>
      <c r="M795" s="497"/>
      <c r="N795" s="283">
        <f>167150-2558.06</f>
        <v>164591.94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8"/>
      <c r="H796" s="812" t="s">
        <v>12</v>
      </c>
      <c r="I796" s="810"/>
      <c r="J796" s="810"/>
      <c r="K796" s="811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14"/>
      <c r="I799" s="810"/>
      <c r="J799" s="810"/>
      <c r="K799" s="811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320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IFERROR(__xludf.DUMMYFUNCTION("IMPORTRANGE(""https://docs.google.com/spreadsheets/d/1MaWodYyGHDf7siQLGxnXhG4mBNTNIuy296niS2xXulU/edit?usp=sharing"",""RTK!H69"")"),382)</f>
        <v>382</v>
      </c>
      <c r="K800" s="807"/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IFERROR(__xludf.DUMMYFUNCTION("IMPORTRANGE(""https://docs.google.com/spreadsheets/d/1MaWodYyGHDf7siQLGxnXhG4mBNTNIuy296niS2xXulU/edit?usp=sharing"",""RTK!I69"")"),5066)</f>
        <v>5066</v>
      </c>
      <c r="K801" s="818">
        <f ca="1">IF(I801&gt;0,J801*100/I801,0)</f>
        <v>101.32</v>
      </c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321</v>
      </c>
      <c r="G802" s="365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5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ca="1">IF(I803&gt;0,J803*100/I803,0)</f>
        <v>0</v>
      </c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69">
        <f ca="1">IFERROR(__xludf.DUMMYFUNCTION("IMPORTRANGE(""https://docs.google.com/spreadsheets/d/19vJNZY_5yjcGF2XGBMNZRCAIB0Kwfpjp8YEOfu-bneM/edit?usp=sharing"",""งานกองทุน!F69"")"),8984343.92)</f>
        <v>8984343.9199999999</v>
      </c>
      <c r="K821" s="497">
        <f t="shared" ref="K821:K828" ca="1" si="113">IF(I821&gt;0,J821*100/I821,0)</f>
        <v>93.996314529270535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IFERROR(__xludf.DUMMYFUNCTION("IMPORTRANGE(""https://docs.google.com/spreadsheets/d/19vJNZY_5yjcGF2XGBMNZRCAIB0Kwfpjp8YEOfu-bneM/edit?usp=sharing"",""งานกองทุน!C69"")"),600)</f>
        <v>600</v>
      </c>
      <c r="J822" s="269">
        <f ca="1">IFERROR(__xludf.DUMMYFUNCTION("IMPORTRANGE(""https://docs.google.com/spreadsheets/d/19vJNZY_5yjcGF2XGBMNZRCAIB0Kwfpjp8YEOfu-bneM/edit?usp=sharing"",""งานกองทุน!E69"")"),553)</f>
        <v>553</v>
      </c>
      <c r="K822" s="497">
        <f t="shared" ca="1" si="113"/>
        <v>92.166666666666671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69">
        <f ca="1">IFERROR(__xludf.DUMMYFUNCTION("IMPORTRANGE(""https://docs.google.com/spreadsheets/d/19vJNZY_5yjcGF2XGBMNZRCAIB0Kwfpjp8YEOfu-bneM/edit?usp=sharing"",""งานกองทุน!K69"")"),1417249.28)</f>
        <v>1417249.28</v>
      </c>
      <c r="K823" s="497">
        <f t="shared" ca="1" si="113"/>
        <v>34.440593362989432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IFERROR(__xludf.DUMMYFUNCTION("IMPORTRANGE(""https://docs.google.com/spreadsheets/d/19vJNZY_5yjcGF2XGBMNZRCAIB0Kwfpjp8YEOfu-bneM/edit?usp=sharing"",""งานกองทุน!H69"")"),163)</f>
        <v>163</v>
      </c>
      <c r="J824" s="269">
        <f ca="1">IFERROR(__xludf.DUMMYFUNCTION("IMPORTRANGE(""https://docs.google.com/spreadsheets/d/19vJNZY_5yjcGF2XGBMNZRCAIB0Kwfpjp8YEOfu-bneM/edit?usp=sharing"",""งานกองทุน!J69"")"),140)</f>
        <v>140</v>
      </c>
      <c r="K824" s="497">
        <f t="shared" ca="1" si="113"/>
        <v>85.889570552147234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IFERROR(__xludf.DUMMYFUNCTION("IMPORTRANGE(""https://docs.google.com/spreadsheets/d/19vJNZY_5yjcGF2XGBMNZRCAIB0Kwfpjp8YEOfu-bneM/edit?usp=sharing"",""งานกองทุน!N69"")"),0)</f>
        <v>0</v>
      </c>
      <c r="J825" s="269">
        <f ca="1">IFERROR(__xludf.DUMMYFUNCTION("IMPORTRANGE(""https://docs.google.com/spreadsheets/d/19vJNZY_5yjcGF2XGBMNZRCAIB0Kwfpjp8YEOfu-bneM/edit?usp=sharing"",""งานกองทุน!P69"")"),0)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IFERROR(__xludf.DUMMYFUNCTION("IMPORTRANGE(""https://docs.google.com/spreadsheets/d/19vJNZY_5yjcGF2XGBMNZRCAIB0Kwfpjp8YEOfu-bneM/edit?usp=sharing"",""งานกองทุน!M69"")"),0)</f>
        <v>0</v>
      </c>
      <c r="J826" s="269">
        <f ca="1">IFERROR(__xludf.DUMMYFUNCTION("IMPORTRANGE(""https://docs.google.com/spreadsheets/d/19vJNZY_5yjcGF2XGBMNZRCAIB0Kwfpjp8YEOfu-bneM/edit?usp=sharing"",""งานกองทุน!O69"")"),0)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IFERROR(__xludf.DUMMYFUNCTION("IMPORTRANGE(""https://docs.google.com/spreadsheets/d/19vJNZY_5yjcGF2XGBMNZRCAIB0Kwfpjp8YEOfu-bneM/edit?usp=sharing"",""งานกองทุน!S69"")"),10000000)</f>
        <v>10000000</v>
      </c>
      <c r="J827" s="269">
        <f ca="1">IFERROR(__xludf.DUMMYFUNCTION("IMPORTRANGE(""https://docs.google.com/spreadsheets/d/19vJNZY_5yjcGF2XGBMNZRCAIB0Kwfpjp8YEOfu-bneM/edit?usp=sharing"",""งานกองทุน!U69"")"),13500000)</f>
        <v>13500000</v>
      </c>
      <c r="K827" s="497">
        <f t="shared" ca="1" si="113"/>
        <v>135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IFERROR(__xludf.DUMMYFUNCTION("IMPORTRANGE(""https://docs.google.com/spreadsheets/d/19vJNZY_5yjcGF2XGBMNZRCAIB0Kwfpjp8YEOfu-bneM/edit?usp=sharing"",""งานกองทุน!T69"")"),308)</f>
        <v>308</v>
      </c>
      <c r="K828" s="502">
        <f t="shared" ca="1" si="113"/>
        <v>101.98675496688742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FFEF3-7E96-4423-8B26-7112A9355425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360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4070279</v>
      </c>
      <c r="M8" s="21">
        <f ca="1">M9+M10</f>
        <v>4041919.68</v>
      </c>
      <c r="N8" s="21">
        <f ca="1">N9+N10</f>
        <v>4056119.68</v>
      </c>
      <c r="O8" s="21">
        <f t="shared" ref="O8:O16" ca="1" si="0">IF(L8&gt;0,N8*100/L8,0)</f>
        <v>99.652129006389984</v>
      </c>
      <c r="P8" s="21">
        <f t="shared" ref="P8:P16" ca="1" si="1">IF(M8&gt;0,N8*100/M8,0)</f>
        <v>100.3513182132308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4070279</v>
      </c>
      <c r="M10" s="29">
        <f t="shared" ca="1" si="2"/>
        <v>4041919.68</v>
      </c>
      <c r="N10" s="29">
        <f t="shared" ca="1" si="2"/>
        <v>4056119.68</v>
      </c>
      <c r="O10" s="29">
        <f t="shared" ca="1" si="0"/>
        <v>99.652129006389984</v>
      </c>
      <c r="P10" s="29">
        <f t="shared" ca="1" si="1"/>
        <v>100.3513182132308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3956479</v>
      </c>
      <c r="M11" s="497">
        <f ca="1">M12+M13</f>
        <v>3928119.68</v>
      </c>
      <c r="N11" s="497">
        <f ca="1">N12+N13</f>
        <v>3928119.68</v>
      </c>
      <c r="O11" s="497">
        <f t="shared" ca="1" si="0"/>
        <v>99.283218235203577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3956479</v>
      </c>
      <c r="M13" s="92">
        <f t="shared" ca="1" si="3"/>
        <v>3928119.68</v>
      </c>
      <c r="N13" s="92">
        <f t="shared" ca="1" si="3"/>
        <v>3928119.68</v>
      </c>
      <c r="O13" s="92">
        <f t="shared" ca="1" si="0"/>
        <v>99.283218235203577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113800</v>
      </c>
      <c r="M14" s="497">
        <f ca="1">M15+M16</f>
        <v>113800</v>
      </c>
      <c r="N14" s="497">
        <f ca="1">N15+N16</f>
        <v>128000</v>
      </c>
      <c r="O14" s="497">
        <f t="shared" ca="1" si="0"/>
        <v>112.4780316344464</v>
      </c>
      <c r="P14" s="497">
        <f t="shared" ca="1" si="1"/>
        <v>112.4780316344464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113800</v>
      </c>
      <c r="M16" s="51">
        <f t="shared" ca="1" si="4"/>
        <v>113800</v>
      </c>
      <c r="N16" s="51">
        <f t="shared" ca="1" si="4"/>
        <v>128000</v>
      </c>
      <c r="O16" s="51">
        <f t="shared" ca="1" si="0"/>
        <v>112.4780316344464</v>
      </c>
      <c r="P16" s="51">
        <f t="shared" ca="1" si="1"/>
        <v>112.4780316344464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2913016</v>
      </c>
      <c r="M18" s="21">
        <f ca="1">M19+M20</f>
        <v>3198628.68</v>
      </c>
      <c r="N18" s="21">
        <f ca="1">N19+N20</f>
        <v>3212828.68</v>
      </c>
      <c r="O18" s="21">
        <f t="shared" ref="O18:O26" ca="1" si="5">IF(L18&gt;0,N18*100/L18,0)</f>
        <v>110.29217415901594</v>
      </c>
      <c r="P18" s="21">
        <f t="shared" ref="P18:P26" ca="1" si="6">IF(M18&gt;0,N18*100/M18,0)</f>
        <v>100.44394024504275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2913016</v>
      </c>
      <c r="M20" s="29">
        <f t="shared" ca="1" si="7"/>
        <v>3198628.68</v>
      </c>
      <c r="N20" s="29">
        <f t="shared" ca="1" si="7"/>
        <v>3212828.68</v>
      </c>
      <c r="O20" s="29">
        <f t="shared" ca="1" si="5"/>
        <v>110.29217415901594</v>
      </c>
      <c r="P20" s="29">
        <f t="shared" ca="1" si="6"/>
        <v>100.44394024504275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2799216</v>
      </c>
      <c r="M21" s="497">
        <f ca="1">M22+M23</f>
        <v>3084828.68</v>
      </c>
      <c r="N21" s="497">
        <f ca="1">N22+N23</f>
        <v>3084828.68</v>
      </c>
      <c r="O21" s="497">
        <f t="shared" ca="1" si="5"/>
        <v>110.20330978388235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2799216</v>
      </c>
      <c r="M23" s="92">
        <f t="shared" ca="1" si="8"/>
        <v>3084828.68</v>
      </c>
      <c r="N23" s="92">
        <f t="shared" ca="1" si="8"/>
        <v>3084828.68</v>
      </c>
      <c r="O23" s="92">
        <f t="shared" ca="1" si="5"/>
        <v>110.20330978388235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113800</v>
      </c>
      <c r="M24" s="497">
        <f ca="1">M25+M26</f>
        <v>113800</v>
      </c>
      <c r="N24" s="497">
        <f ca="1">N25+N26</f>
        <v>128000</v>
      </c>
      <c r="O24" s="497">
        <f t="shared" ca="1" si="5"/>
        <v>112.4780316344464</v>
      </c>
      <c r="P24" s="497">
        <f t="shared" ca="1" si="6"/>
        <v>112.4780316344464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113800</v>
      </c>
      <c r="M26" s="51">
        <f t="shared" ca="1" si="9"/>
        <v>113800</v>
      </c>
      <c r="N26" s="51">
        <f t="shared" ca="1" si="9"/>
        <v>128000</v>
      </c>
      <c r="O26" s="51">
        <f t="shared" ca="1" si="5"/>
        <v>112.4780316344464</v>
      </c>
      <c r="P26" s="51">
        <f t="shared" ca="1" si="6"/>
        <v>112.4780316344464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1157263</v>
      </c>
      <c r="M28" s="21">
        <f ca="1">M29+M30</f>
        <v>843291</v>
      </c>
      <c r="N28" s="21">
        <f>N29+N30</f>
        <v>843291</v>
      </c>
      <c r="O28" s="21">
        <f t="shared" ref="O28:O37" ca="1" si="10">IF(L28&gt;0,N28*100/L28,0)</f>
        <v>72.869434173562965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1157263</v>
      </c>
      <c r="M30" s="29">
        <f t="shared" ca="1" si="12"/>
        <v>843291</v>
      </c>
      <c r="N30" s="29">
        <f t="shared" si="12"/>
        <v>843291</v>
      </c>
      <c r="O30" s="29">
        <f t="shared" ca="1" si="10"/>
        <v>72.869434173562965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1157263</v>
      </c>
      <c r="M31" s="497">
        <f ca="1">M32+M33</f>
        <v>843291</v>
      </c>
      <c r="N31" s="497">
        <f>N32+N33</f>
        <v>843291</v>
      </c>
      <c r="O31" s="497">
        <f t="shared" ca="1" si="10"/>
        <v>72.869434173562965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1157263</v>
      </c>
      <c r="M33" s="92">
        <f t="shared" ca="1" si="13"/>
        <v>843291</v>
      </c>
      <c r="N33" s="92">
        <f t="shared" si="13"/>
        <v>843291</v>
      </c>
      <c r="O33" s="92">
        <f t="shared" ca="1" si="10"/>
        <v>72.869434173562965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2913016</v>
      </c>
      <c r="M37" s="58">
        <f ca="1">M41+M53+M66+M88+M119+M132+M149+M165+M181+M261+M277+M298+M315+M328+M345+M389+M402</f>
        <v>3198628.68</v>
      </c>
      <c r="N37" s="58">
        <f ca="1">N41+N53+N66+N88+N119+N132+N149+N165+N181+N261+N277+N298+N315+N328+N345+N389+N402</f>
        <v>3212828.68</v>
      </c>
      <c r="O37" s="58">
        <f t="shared" ca="1" si="10"/>
        <v>110.29217415901594</v>
      </c>
      <c r="P37" s="58">
        <f t="shared" ca="1" si="11"/>
        <v>100.44394024504275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474896</v>
      </c>
      <c r="M41" s="84">
        <f ca="1">M42+M43</f>
        <v>609144</v>
      </c>
      <c r="N41" s="84">
        <f ca="1">N42+N43</f>
        <v>609144</v>
      </c>
      <c r="O41" s="84">
        <f t="shared" ref="O41:O49" ca="1" si="15">IF(L41&gt;0,N41*100/L41,0)</f>
        <v>128.26892624911559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474896</v>
      </c>
      <c r="M43" s="91">
        <f t="shared" ca="1" si="17"/>
        <v>609144</v>
      </c>
      <c r="N43" s="91">
        <f t="shared" ca="1" si="17"/>
        <v>609144</v>
      </c>
      <c r="O43" s="91">
        <f t="shared" ca="1" si="15"/>
        <v>128.26892624911559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474896</v>
      </c>
      <c r="M44" s="497">
        <f ca="1">M45+M46</f>
        <v>609144</v>
      </c>
      <c r="N44" s="497">
        <f ca="1">N45+N46</f>
        <v>609144</v>
      </c>
      <c r="O44" s="497">
        <f t="shared" ca="1" si="15"/>
        <v>128.26892624911559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IFERROR(__xludf.DUMMYFUNCTION("IMPORTRANGE(""https://docs.google.com/spreadsheets/d/1MeEWN-I1oV_STSDYn1IFDPWt_1FKiwhDph83XaGc0o0/edit?usp=sharing"",""งบพรบ!M70"")"),474896)</f>
        <v>474896</v>
      </c>
      <c r="M46" s="92">
        <f ca="1">IFERROR(__xludf.DUMMYFUNCTION("IMPORTRANGE(""https://docs.google.com/spreadsheets/d/1MeEWN-I1oV_STSDYn1IFDPWt_1FKiwhDph83XaGc0o0/edit?usp=sharing"",""งบพรบ!R70"")"),609144)</f>
        <v>609144</v>
      </c>
      <c r="N46" s="92">
        <f ca="1">IFERROR(__xludf.DUMMYFUNCTION("IMPORTRANGE(""https://docs.google.com/spreadsheets/d/1MeEWN-I1oV_STSDYn1IFDPWt_1FKiwhDph83XaGc0o0/edit?usp=sharing"",""งบพรบ!T70"")"),609144)</f>
        <v>609144</v>
      </c>
      <c r="O46" s="92">
        <f t="shared" ca="1" si="15"/>
        <v>128.26892624911559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IFERROR(__xludf.DUMMYFUNCTION("IMPORTRANGE(""https://docs.google.com/spreadsheets/d/1MeEWN-I1oV_STSDYn1IFDPWt_1FKiwhDph83XaGc0o0/edit?usp=sharing"",""งบพรบ!P70"")"),0)</f>
        <v>0</v>
      </c>
      <c r="M49" s="51">
        <f ca="1">IFERROR(__xludf.DUMMYFUNCTION("IMPORTRANGE(""https://docs.google.com/spreadsheets/d/1MeEWN-I1oV_STSDYn1IFDPWt_1FKiwhDph83XaGc0o0/edit?usp=sharing"",""งบพรบ!S70"")"),0)</f>
        <v>0</v>
      </c>
      <c r="N49" s="51">
        <f ca="1">IFERROR(__xludf.DUMMYFUNCTION("IMPORTRANGE(""https://docs.google.com/spreadsheets/d/1MeEWN-I1oV_STSDYn1IFDPWt_1FKiwhDph83XaGc0o0/edit?usp=sharing"",""งบพรบ!U70"")"),0)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643000</v>
      </c>
      <c r="M53" s="115">
        <f ca="1">M54+M55</f>
        <v>702964.68</v>
      </c>
      <c r="N53" s="115">
        <f ca="1">N54+N55</f>
        <v>717164.68</v>
      </c>
      <c r="O53" s="115">
        <f t="shared" ref="O53:O61" ca="1" si="18">IF(L53&gt;0,N53*100/L53,0)</f>
        <v>111.53416485225506</v>
      </c>
      <c r="P53" s="115">
        <f t="shared" ref="P53:P61" ca="1" si="19">IF(M53&gt;0,N53*100/M53,0)</f>
        <v>102.02001614078249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643000</v>
      </c>
      <c r="M55" s="122">
        <f t="shared" ca="1" si="20"/>
        <v>702964.68</v>
      </c>
      <c r="N55" s="122">
        <f t="shared" ca="1" si="20"/>
        <v>717164.68</v>
      </c>
      <c r="O55" s="122">
        <f t="shared" ca="1" si="18"/>
        <v>111.53416485225506</v>
      </c>
      <c r="P55" s="122">
        <f t="shared" ca="1" si="19"/>
        <v>102.02001614078249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643000</v>
      </c>
      <c r="M56" s="497">
        <f ca="1">M57+M58</f>
        <v>702964.68</v>
      </c>
      <c r="N56" s="497">
        <f ca="1">N57+N58</f>
        <v>702964.68</v>
      </c>
      <c r="O56" s="497">
        <f t="shared" ca="1" si="18"/>
        <v>109.325766718507</v>
      </c>
      <c r="P56" s="497">
        <f t="shared" ca="1" si="19"/>
        <v>99.999999999999986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IFERROR(__xludf.DUMMYFUNCTION("IMPORTRANGE(""https://docs.google.com/spreadsheets/d/1MeEWN-I1oV_STSDYn1IFDPWt_1FKiwhDph83XaGc0o0/edit?usp=sharing"",""งบพรบ!W70"")"),643000)</f>
        <v>643000</v>
      </c>
      <c r="M58" s="92">
        <f ca="1">IFERROR(__xludf.DUMMYFUNCTION("IMPORTRANGE(""https://docs.google.com/spreadsheets/d/1MeEWN-I1oV_STSDYn1IFDPWt_1FKiwhDph83XaGc0o0/edit?usp=sharing"",""งบพรบ!AB70"")"),702964.68)</f>
        <v>702964.68</v>
      </c>
      <c r="N58" s="92">
        <f ca="1">IFERROR(__xludf.DUMMYFUNCTION("IMPORTRANGE(""https://docs.google.com/spreadsheets/d/1MeEWN-I1oV_STSDYn1IFDPWt_1FKiwhDph83XaGc0o0/edit?usp=sharing"",""งบพรบ!AD70"")"),702964.68)</f>
        <v>702964.68</v>
      </c>
      <c r="O58" s="92">
        <f t="shared" ca="1" si="18"/>
        <v>109.325766718507</v>
      </c>
      <c r="P58" s="92">
        <f t="shared" ca="1" si="19"/>
        <v>99.999999999999986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14200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IFERROR(__xludf.DUMMYFUNCTION("IMPORTRANGE(""https://docs.google.com/spreadsheets/d/1MeEWN-I1oV_STSDYn1IFDPWt_1FKiwhDph83XaGc0o0/edit?usp=sharing"",""งบพรบ!Z70"")"),0)</f>
        <v>0</v>
      </c>
      <c r="M61" s="51">
        <f ca="1">IFERROR(__xludf.DUMMYFUNCTION("IMPORTRANGE(""https://docs.google.com/spreadsheets/d/1MeEWN-I1oV_STSDYn1IFDPWt_1FKiwhDph83XaGc0o0/edit?usp=sharing"",""งบพรบ!AC70"")"),0)</f>
        <v>0</v>
      </c>
      <c r="N61" s="51">
        <f ca="1">IFERROR(__xludf.DUMMYFUNCTION("IMPORTRANGE(""https://docs.google.com/spreadsheets/d/1MeEWN-I1oV_STSDYn1IFDPWt_1FKiwhDph83XaGc0o0/edit?usp=sharing"",""งบพรบ!AE70"")"),14200)</f>
        <v>14200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IFERROR(__xludf.DUMMYFUNCTION("IMPORTRANGE(""https://docs.google.com/spreadsheets/d/1MeEWN-I1oV_STSDYn1IFDPWt_1FKiwhDph83XaGc0o0/edit?usp=sharing"",""งบพรบ!AG70"")"),0)</f>
        <v>0</v>
      </c>
      <c r="M71" s="92">
        <f ca="1">IFERROR(__xludf.DUMMYFUNCTION("IMPORTRANGE(""https://docs.google.com/spreadsheets/d/1MeEWN-I1oV_STSDYn1IFDPWt_1FKiwhDph83XaGc0o0/edit?usp=sharing"",""งบพรบ!AL70"")"),0)</f>
        <v>0</v>
      </c>
      <c r="N71" s="92">
        <f ca="1">IFERROR(__xludf.DUMMYFUNCTION("IMPORTRANGE(""https://docs.google.com/spreadsheets/d/1MeEWN-I1oV_STSDYn1IFDPWt_1FKiwhDph83XaGc0o0/edit?usp=sharing"",""งบพรบ!AN70"")"),0)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IFERROR(__xludf.DUMMYFUNCTION("IMPORTRANGE(""https://docs.google.com/spreadsheets/d/1MeEWN-I1oV_STSDYn1IFDPWt_1FKiwhDph83XaGc0o0/edit?usp=sharing"",""งบพรบ!AJ70"")"),0)</f>
        <v>0</v>
      </c>
      <c r="M74" s="92">
        <f ca="1">IFERROR(__xludf.DUMMYFUNCTION("IMPORTRANGE(""https://docs.google.com/spreadsheets/d/1MeEWN-I1oV_STSDYn1IFDPWt_1FKiwhDph83XaGc0o0/edit?usp=sharing"",""งบพรบ!AM70"")"),0)</f>
        <v>0</v>
      </c>
      <c r="N74" s="92">
        <f ca="1">IFERROR(__xludf.DUMMYFUNCTION("IMPORTRANGE(""https://docs.google.com/spreadsheets/d/1MeEWN-I1oV_STSDYn1IFDPWt_1FKiwhDph83XaGc0o0/edit?usp=sharing"",""งบพรบ!AO70"")"),0)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IFERROR(__xludf.DUMMYFUNCTION("IMPORTRANGE(""https://docs.google.com/spreadsheets/d/1QqKyyYR6Q21VydFLVH3TRQUabQu_ym0Zz7PgGX0-kHA/edit?usp=sharing"",""แผน!H70"")"),0)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IFERROR(__xludf.DUMMYFUNCTION("IMPORTRANGE(""https://docs.google.com/spreadsheets/d/1QqKyyYR6Q21VydFLVH3TRQUabQu_ym0Zz7PgGX0-kHA/edit?usp=sharing"",""แผน!I70"")"),0)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IFERROR(__xludf.DUMMYFUNCTION("IMPORTRANGE(""https://docs.google.com/spreadsheets/d/1QqKyyYR6Q21VydFLVH3TRQUabQu_ym0Zz7PgGX0-kHA/edit?usp=sharing"",""แผน!F70"")"),0)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IFERROR(__xludf.DUMMYFUNCTION("IMPORTRANGE(""https://docs.google.com/spreadsheets/d/1QqKyyYR6Q21VydFLVH3TRQUabQu_ym0Zz7PgGX0-kHA/edit?usp=sharing"",""แผน!G70"")"),0)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IFERROR(__xludf.DUMMYFUNCTION("IMPORTRANGE(""https://docs.google.com/spreadsheets/d/1QqKyyYR6Q21VydFLVH3TRQUabQu_ym0Zz7PgGX0-kHA/edit?usp=sharing"",""แผน!D70"")"),0)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IFERROR(__xludf.DUMMYFUNCTION("IMPORTRANGE(""https://docs.google.com/spreadsheets/d/1QqKyyYR6Q21VydFLVH3TRQUabQu_ym0Zz7PgGX0-kHA/edit?usp=sharing"",""แผน!E70"")"),0)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IFERROR(__xludf.DUMMYFUNCTION("IMPORTRANGE(""https://docs.google.com/spreadsheets/d/1QqKyyYR6Q21VydFLVH3TRQUabQu_ym0Zz7PgGX0-kHA/edit?usp=sharing"",""แผน!J70"")"),0)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45</v>
      </c>
      <c r="J86" s="143">
        <f>J98</f>
        <v>45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15</v>
      </c>
      <c r="J87" s="143">
        <f>J99</f>
        <v>15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68660</v>
      </c>
      <c r="M88" s="154">
        <f ca="1">M89+M90</f>
        <v>68660</v>
      </c>
      <c r="N88" s="154">
        <f ca="1">N89+N90</f>
        <v>68660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68660</v>
      </c>
      <c r="M90" s="92">
        <f t="shared" ca="1" si="27"/>
        <v>68660</v>
      </c>
      <c r="N90" s="92">
        <f t="shared" ca="1" si="27"/>
        <v>68660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68660</v>
      </c>
      <c r="M91" s="497">
        <f ca="1">M92+M93</f>
        <v>68660</v>
      </c>
      <c r="N91" s="497">
        <f ca="1">N92+N93</f>
        <v>68660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IFERROR(__xludf.DUMMYFUNCTION("IMPORTRANGE(""https://docs.google.com/spreadsheets/d/1MeEWN-I1oV_STSDYn1IFDPWt_1FKiwhDph83XaGc0o0/edit?usp=sharing"",""งบพรบ!AQ70"")"),68660)</f>
        <v>68660</v>
      </c>
      <c r="M93" s="92">
        <f ca="1">IFERROR(__xludf.DUMMYFUNCTION("IMPORTRANGE(""https://docs.google.com/spreadsheets/d/1MeEWN-I1oV_STSDYn1IFDPWt_1FKiwhDph83XaGc0o0/edit?usp=sharing"",""งบพรบ!AV70"")"),68660)</f>
        <v>68660</v>
      </c>
      <c r="N93" s="92">
        <f ca="1">IFERROR(__xludf.DUMMYFUNCTION("IMPORTRANGE(""https://docs.google.com/spreadsheets/d/1MeEWN-I1oV_STSDYn1IFDPWt_1FKiwhDph83XaGc0o0/edit?usp=sharing"",""งบพรบ!AX70"")"),68660)</f>
        <v>68660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IFERROR(__xludf.DUMMYFUNCTION("IMPORTRANGE(""https://docs.google.com/spreadsheets/d/1MeEWN-I1oV_STSDYn1IFDPWt_1FKiwhDph83XaGc0o0/edit?usp=sharing"",""งบพรบ!AT70"")"),0)</f>
        <v>0</v>
      </c>
      <c r="M96" s="92">
        <f ca="1">IFERROR(__xludf.DUMMYFUNCTION("IMPORTRANGE(""https://docs.google.com/spreadsheets/d/1MeEWN-I1oV_STSDYn1IFDPWt_1FKiwhDph83XaGc0o0/edit?usp=sharing"",""งบพรบ!AW70"")"),0)</f>
        <v>0</v>
      </c>
      <c r="N96" s="92">
        <f ca="1">IFERROR(__xludf.DUMMYFUNCTION("IMPORTRANGE(""https://docs.google.com/spreadsheets/d/1MeEWN-I1oV_STSDYn1IFDPWt_1FKiwhDph83XaGc0o0/edit?usp=sharing"",""งบพรบ!AY70"")"),0)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IFERROR(__xludf.DUMMYFUNCTION("IMPORTRANGE(""https://docs.google.com/spreadsheets/d/1QqKyyYR6Q21VydFLVH3TRQUabQu_ym0Zz7PgGX0-kHA/edit?usp=sharing"",""แผน!K70"")"),45)</f>
        <v>45</v>
      </c>
      <c r="J98" s="269">
        <f>J102</f>
        <v>45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IFERROR(__xludf.DUMMYFUNCTION("IMPORTRANGE(""https://docs.google.com/spreadsheets/d/1QqKyyYR6Q21VydFLVH3TRQUabQu_ym0Zz7PgGX0-kHA/edit?usp=sharing"",""แผน!L70"")"),15)</f>
        <v>15</v>
      </c>
      <c r="J99" s="269">
        <f>J104</f>
        <v>15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IFERROR(__xludf.DUMMYFUNCTION("IMPORTRANGE(""https://docs.google.com/spreadsheets/d/1QqKyyYR6Q21VydFLVH3TRQUabQu_ym0Zz7PgGX0-kHA/edit?usp=sharing"",""แผน!M70"")"),1)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IFERROR(__xludf.DUMMYFUNCTION("IMPORTRANGE(""https://docs.google.com/spreadsheets/d/1QqKyyYR6Q21VydFLVH3TRQUabQu_ym0Zz7PgGX0-kHA/edit?usp=sharing"",""แผน!N70"")"),45)</f>
        <v>45</v>
      </c>
      <c r="J102" s="214">
        <v>45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IFERROR(__xludf.DUMMYFUNCTION("IMPORTRANGE(""https://docs.google.com/spreadsheets/d/1QqKyyYR6Q21VydFLVH3TRQUabQu_ym0Zz7PgGX0-kHA/edit?usp=sharing"",""แผน!O70"")"),15)</f>
        <v>15</v>
      </c>
      <c r="J103" s="214">
        <v>15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IFERROR(__xludf.DUMMYFUNCTION("IMPORTRANGE(""https://docs.google.com/spreadsheets/d/1QqKyyYR6Q21VydFLVH3TRQUabQu_ym0Zz7PgGX0-kHA/edit?usp=sharing"",""แผน!O70"")"),15)</f>
        <v>15</v>
      </c>
      <c r="J104" s="214">
        <v>15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IFERROR(__xludf.DUMMYFUNCTION("IMPORTRANGE(""https://docs.google.com/spreadsheets/d/1QqKyyYR6Q21VydFLVH3TRQUabQu_ym0Zz7PgGX0-kHA/edit?usp=sharing"",""แผน!P70"")"),0)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IFERROR(__xludf.DUMMYFUNCTION("IMPORTRANGE(""https://docs.google.com/spreadsheets/d/1QqKyyYR6Q21VydFLVH3TRQUabQu_ym0Zz7PgGX0-kHA/edit?usp=sharing"",""แผน!P70"")"),0)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IFERROR(__xludf.DUMMYFUNCTION("IMPORTRANGE(""https://docs.google.com/spreadsheets/d/1QqKyyYR6Q21VydFLVH3TRQUabQu_ym0Zz7PgGX0-kHA/edit?usp=sharing"",""แผน!Q70"")"),1)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IFERROR(__xludf.DUMMYFUNCTION("IMPORTRANGE(""https://docs.google.com/spreadsheets/d/1QqKyyYR6Q21VydFLVH3TRQUabQu_ym0Zz7PgGX0-kHA/edit?usp=sharing"",""แผน!Q70"")"),1)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IFERROR(__xludf.DUMMYFUNCTION("IMPORTRANGE(""https://docs.google.com/spreadsheets/d/1QqKyyYR6Q21VydFLVH3TRQUabQu_ym0Zz7PgGX0-kHA/edit?usp=sharing"",""แผน!R70"")"),15)</f>
        <v>15</v>
      </c>
      <c r="J113" s="214">
        <v>15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IFERROR(__xludf.DUMMYFUNCTION("IMPORTRANGE(""https://docs.google.com/spreadsheets/d/1QqKyyYR6Q21VydFLVH3TRQUabQu_ym0Zz7PgGX0-kHA/edit?usp=sharing"",""แผน!R70"")"),15)</f>
        <v>15</v>
      </c>
      <c r="J114" s="214">
        <v>15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IFERROR(__xludf.DUMMYFUNCTION("IMPORTRANGE(""https://docs.google.com/spreadsheets/d/1QqKyyYR6Q21VydFLVH3TRQUabQu_ym0Zz7PgGX0-kHA/edit?usp=sharing"",""แผน!S70"")"),0)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IFERROR(__xludf.DUMMYFUNCTION("IMPORTRANGE(""https://docs.google.com/spreadsheets/d/1QqKyyYR6Q21VydFLVH3TRQUabQu_ym0Zz7PgGX0-kHA/edit?usp=sharing"",""แผน!T70"")"),1)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IFERROR(__xludf.DUMMYFUNCTION("IMPORTRANGE(""https://docs.google.com/spreadsheets/d/1MeEWN-I1oV_STSDYn1IFDPWt_1FKiwhDph83XaGc0o0/edit?usp=sharing"",""งบพรบ!BA70"")"),0)</f>
        <v>0</v>
      </c>
      <c r="M124" s="92">
        <f ca="1">IFERROR(__xludf.DUMMYFUNCTION("IMPORTRANGE(""https://docs.google.com/spreadsheets/d/1MeEWN-I1oV_STSDYn1IFDPWt_1FKiwhDph83XaGc0o0/edit?usp=sharing"",""งบพรบ!BF70"")"),0)</f>
        <v>0</v>
      </c>
      <c r="N124" s="92">
        <f ca="1">IFERROR(__xludf.DUMMYFUNCTION("IMPORTRANGE(""https://docs.google.com/spreadsheets/d/1MeEWN-I1oV_STSDYn1IFDPWt_1FKiwhDph83XaGc0o0/edit?usp=sharing"",""งบพรบ!BH70"")"),0)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IFERROR(__xludf.DUMMYFUNCTION("IMPORTRANGE(""https://docs.google.com/spreadsheets/d/1MeEWN-I1oV_STSDYn1IFDPWt_1FKiwhDph83XaGc0o0/edit?usp=sharing"",""งบพรบ!BD70"")"),0)</f>
        <v>0</v>
      </c>
      <c r="M127" s="92">
        <f ca="1">IFERROR(__xludf.DUMMYFUNCTION("IMPORTRANGE(""https://docs.google.com/spreadsheets/d/1MeEWN-I1oV_STSDYn1IFDPWt_1FKiwhDph83XaGc0o0/edit?usp=sharing"",""งบพรบ!BG70"")"),0)</f>
        <v>0</v>
      </c>
      <c r="N127" s="92">
        <f ca="1">IFERROR(__xludf.DUMMYFUNCTION("IMPORTRANGE(""https://docs.google.com/spreadsheets/d/1MeEWN-I1oV_STSDYn1IFDPWt_1FKiwhDph83XaGc0o0/edit?usp=sharing"",""งบพรบ!BI70"")"),0)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IFERROR(__xludf.DUMMYFUNCTION("IMPORTRANGE(""https://docs.google.com/spreadsheets/d/1MeEWN-I1oV_STSDYn1IFDPWt_1FKiwhDph83XaGc0o0/edit?usp=sharing"",""งบพรบ!BK70"")"),0)</f>
        <v>0</v>
      </c>
      <c r="M137" s="92">
        <f ca="1">IFERROR(__xludf.DUMMYFUNCTION("IMPORTRANGE(""https://docs.google.com/spreadsheets/d/1MeEWN-I1oV_STSDYn1IFDPWt_1FKiwhDph83XaGc0o0/edit?usp=sharing"",""งบพรบ!BP70"")"),0)</f>
        <v>0</v>
      </c>
      <c r="N137" s="92">
        <f ca="1">IFERROR(__xludf.DUMMYFUNCTION("IMPORTRANGE(""https://docs.google.com/spreadsheets/d/1MeEWN-I1oV_STSDYn1IFDPWt_1FKiwhDph83XaGc0o0/edit?usp=sharing"",""งบพรบ!BR70"")"),0)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IFERROR(__xludf.DUMMYFUNCTION("IMPORTRANGE(""https://docs.google.com/spreadsheets/d/1MeEWN-I1oV_STSDYn1IFDPWt_1FKiwhDph83XaGc0o0/edit?usp=sharing"",""งบพรบ!BN70"")"),0)</f>
        <v>0</v>
      </c>
      <c r="M140" s="92">
        <f ca="1">IFERROR(__xludf.DUMMYFUNCTION("IMPORTRANGE(""https://docs.google.com/spreadsheets/d/1MeEWN-I1oV_STSDYn1IFDPWt_1FKiwhDph83XaGc0o0/edit?usp=sharing"",""งบพรบ!BQ70"")"),0)</f>
        <v>0</v>
      </c>
      <c r="N140" s="92">
        <f ca="1">IFERROR(__xludf.DUMMYFUNCTION("IMPORTRANGE(""https://docs.google.com/spreadsheets/d/1MeEWN-I1oV_STSDYn1IFDPWt_1FKiwhDph83XaGc0o0/edit?usp=sharing"",""งบพรบ!BS70"")"),0)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IFERROR(__xludf.DUMMYFUNCTION("IMPORTRANGE(""https://docs.google.com/spreadsheets/d/1QqKyyYR6Q21VydFLVH3TRQUabQu_ym0Zz7PgGX0-kHA/edit?usp=sharing"",""แผน!U70"")"),0)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IFERROR(__xludf.DUMMYFUNCTION("IMPORTRANGE(""https://docs.google.com/spreadsheets/d/1QqKyyYR6Q21VydFLVH3TRQUabQu_ym0Zz7PgGX0-kHA/edit?usp=sharing"",""แผน!V70"")"),0)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IFERROR(__xludf.DUMMYFUNCTION("IMPORTRANGE(""https://docs.google.com/spreadsheets/d/1QqKyyYR6Q21VydFLVH3TRQUabQu_ym0Zz7PgGX0-kHA/edit?usp=sharing"",""แผน!W70"")"),0)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22540</v>
      </c>
      <c r="N149" s="154">
        <f ca="1">N150+N151</f>
        <v>22540</v>
      </c>
      <c r="O149" s="154">
        <f t="shared" ref="O149:O157" ca="1" si="35">IF(L149&gt;0,N149*100/L149,0)</f>
        <v>300.53333333333336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22540</v>
      </c>
      <c r="N151" s="92">
        <f t="shared" ca="1" si="37"/>
        <v>22540</v>
      </c>
      <c r="O151" s="92">
        <f t="shared" ca="1" si="35"/>
        <v>300.53333333333336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22540</v>
      </c>
      <c r="N152" s="497">
        <f ca="1">N153+N154</f>
        <v>22540</v>
      </c>
      <c r="O152" s="497">
        <f t="shared" ca="1" si="35"/>
        <v>300.53333333333336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IFERROR(__xludf.DUMMYFUNCTION("IMPORTRANGE(""https://docs.google.com/spreadsheets/d/1MeEWN-I1oV_STSDYn1IFDPWt_1FKiwhDph83XaGc0o0/edit?usp=sharing"",""งบพรบ!BU70"")"),7500)</f>
        <v>7500</v>
      </c>
      <c r="M154" s="92">
        <f ca="1">IFERROR(__xludf.DUMMYFUNCTION("IMPORTRANGE(""https://docs.google.com/spreadsheets/d/1MeEWN-I1oV_STSDYn1IFDPWt_1FKiwhDph83XaGc0o0/edit?usp=sharing"",""งบพรบ!BZ70"")"),22540)</f>
        <v>22540</v>
      </c>
      <c r="N154" s="92">
        <f ca="1">IFERROR(__xludf.DUMMYFUNCTION("IMPORTRANGE(""https://docs.google.com/spreadsheets/d/1MeEWN-I1oV_STSDYn1IFDPWt_1FKiwhDph83XaGc0o0/edit?usp=sharing"",""งบพรบ!CB70"")"),22540)</f>
        <v>22540</v>
      </c>
      <c r="O154" s="92">
        <f t="shared" ca="1" si="35"/>
        <v>300.53333333333336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IFERROR(__xludf.DUMMYFUNCTION("IMPORTRANGE(""https://docs.google.com/spreadsheets/d/1MeEWN-I1oV_STSDYn1IFDPWt_1FKiwhDph83XaGc0o0/edit?usp=sharing"",""งบพรบ!BX70"")"),0)</f>
        <v>0</v>
      </c>
      <c r="M157" s="92">
        <f ca="1">IFERROR(__xludf.DUMMYFUNCTION("IMPORTRANGE(""https://docs.google.com/spreadsheets/d/1MeEWN-I1oV_STSDYn1IFDPWt_1FKiwhDph83XaGc0o0/edit?usp=sharing"",""งบพรบ!CA70"")"),0)</f>
        <v>0</v>
      </c>
      <c r="N157" s="92">
        <f ca="1">IFERROR(__xludf.DUMMYFUNCTION("IMPORTRANGE(""https://docs.google.com/spreadsheets/d/1MeEWN-I1oV_STSDYn1IFDPWt_1FKiwhDph83XaGc0o0/edit?usp=sharing"",""งบพรบ!CC70"")"),0)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IFERROR(__xludf.DUMMYFUNCTION("IMPORTRANGE(""https://docs.google.com/spreadsheets/d/1QqKyyYR6Q21VydFLVH3TRQUabQu_ym0Zz7PgGX0-kHA/edit?usp=sharing"",""แผน!X70"")"),15)</f>
        <v>15</v>
      </c>
      <c r="J159" s="884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48860</v>
      </c>
      <c r="N165" s="154">
        <f ca="1">N166+N167</f>
        <v>48860</v>
      </c>
      <c r="O165" s="154">
        <f t="shared" ref="O165:O173" ca="1" si="38">IF(L165&gt;0,N165*100/L165,0)</f>
        <v>211.88204683434518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48860</v>
      </c>
      <c r="N167" s="92">
        <f t="shared" ca="1" si="40"/>
        <v>48860</v>
      </c>
      <c r="O167" s="92">
        <f t="shared" ca="1" si="38"/>
        <v>211.88204683434518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48860</v>
      </c>
      <c r="N168" s="497">
        <f ca="1">N169+N170</f>
        <v>48860</v>
      </c>
      <c r="O168" s="497">
        <f t="shared" ca="1" si="38"/>
        <v>211.88204683434518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IFERROR(__xludf.DUMMYFUNCTION("IMPORTRANGE(""https://docs.google.com/spreadsheets/d/1MeEWN-I1oV_STSDYn1IFDPWt_1FKiwhDph83XaGc0o0/edit?usp=sharing"",""งบพรบ!CE70"")"),23060)</f>
        <v>23060</v>
      </c>
      <c r="M170" s="92">
        <f ca="1">IFERROR(__xludf.DUMMYFUNCTION("IMPORTRANGE(""https://docs.google.com/spreadsheets/d/1MeEWN-I1oV_STSDYn1IFDPWt_1FKiwhDph83XaGc0o0/edit?usp=sharing"",""งบพรบ!CJ70"")"),48860)</f>
        <v>48860</v>
      </c>
      <c r="N170" s="92">
        <f ca="1">IFERROR(__xludf.DUMMYFUNCTION("IMPORTRANGE(""https://docs.google.com/spreadsheets/d/1MeEWN-I1oV_STSDYn1IFDPWt_1FKiwhDph83XaGc0o0/edit?usp=sharing"",""งบพรบ!CL70"")"),48860)</f>
        <v>48860</v>
      </c>
      <c r="O170" s="92">
        <f t="shared" ca="1" si="38"/>
        <v>211.88204683434518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IFERROR(__xludf.DUMMYFUNCTION("IMPORTRANGE(""https://docs.google.com/spreadsheets/d/1MeEWN-I1oV_STSDYn1IFDPWt_1FKiwhDph83XaGc0o0/edit?usp=sharing"",""งบพรบ!CH70"")"),0)</f>
        <v>0</v>
      </c>
      <c r="M173" s="92">
        <f ca="1">IFERROR(__xludf.DUMMYFUNCTION("IMPORTRANGE(""https://docs.google.com/spreadsheets/d/1MeEWN-I1oV_STSDYn1IFDPWt_1FKiwhDph83XaGc0o0/edit?usp=sharing"",""งบพรบ!CK70"")"),0)</f>
        <v>0</v>
      </c>
      <c r="N173" s="92">
        <f ca="1">IFERROR(__xludf.DUMMYFUNCTION("IMPORTRANGE(""https://docs.google.com/spreadsheets/d/1MeEWN-I1oV_STSDYn1IFDPWt_1FKiwhDph83XaGc0o0/edit?usp=sharing"",""งบพรบ!CM70"")"),0)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IFERROR(__xludf.DUMMYFUNCTION("IMPORTRANGE(""https://docs.google.com/spreadsheets/d/1QqKyyYR6Q21VydFLVH3TRQUabQu_ym0Zz7PgGX0-kHA/edit?usp=sharing"",""แผน!Y70"")"),12)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208200</v>
      </c>
      <c r="M181" s="154">
        <f ca="1">M182+M183</f>
        <v>203180</v>
      </c>
      <c r="N181" s="154">
        <f ca="1">N182+N183</f>
        <v>203180</v>
      </c>
      <c r="O181" s="154">
        <f t="shared" ref="O181:O189" ca="1" si="41">IF(L181&gt;0,N181*100/L181,0)</f>
        <v>97.58885686839578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208200</v>
      </c>
      <c r="M183" s="92">
        <f t="shared" ca="1" si="43"/>
        <v>203180</v>
      </c>
      <c r="N183" s="92">
        <f t="shared" ca="1" si="43"/>
        <v>203180</v>
      </c>
      <c r="O183" s="92">
        <f t="shared" ca="1" si="41"/>
        <v>97.58885686839578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208200</v>
      </c>
      <c r="M184" s="497">
        <f ca="1">M185+M186</f>
        <v>203180</v>
      </c>
      <c r="N184" s="497">
        <f ca="1">N185+N186</f>
        <v>203180</v>
      </c>
      <c r="O184" s="497">
        <f t="shared" ca="1" si="41"/>
        <v>97.58885686839578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IFERROR(__xludf.DUMMYFUNCTION("IMPORTRANGE(""https://docs.google.com/spreadsheets/d/1MeEWN-I1oV_STSDYn1IFDPWt_1FKiwhDph83XaGc0o0/edit?usp=sharing"",""งบพรบ!CO70"")"),208200)</f>
        <v>208200</v>
      </c>
      <c r="M186" s="92">
        <f ca="1">IFERROR(__xludf.DUMMYFUNCTION("IMPORTRANGE(""https://docs.google.com/spreadsheets/d/1MeEWN-I1oV_STSDYn1IFDPWt_1FKiwhDph83XaGc0o0/edit?usp=sharing"",""งบพรบ!CT70"")"),203180)</f>
        <v>203180</v>
      </c>
      <c r="N186" s="92">
        <f ca="1">IFERROR(__xludf.DUMMYFUNCTION("IMPORTRANGE(""https://docs.google.com/spreadsheets/d/1MeEWN-I1oV_STSDYn1IFDPWt_1FKiwhDph83XaGc0o0/edit?usp=sharing"",""งบพรบ!CV70"")"),203180)</f>
        <v>203180</v>
      </c>
      <c r="O186" s="92">
        <f t="shared" ca="1" si="41"/>
        <v>97.58885686839578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IFERROR(__xludf.DUMMYFUNCTION("IMPORTRANGE(""https://docs.google.com/spreadsheets/d/1MeEWN-I1oV_STSDYn1IFDPWt_1FKiwhDph83XaGc0o0/edit?usp=sharing"",""งบพรบ!CR70"")"),0)</f>
        <v>0</v>
      </c>
      <c r="M189" s="92">
        <f ca="1">IFERROR(__xludf.DUMMYFUNCTION("IMPORTRANGE(""https://docs.google.com/spreadsheets/d/1MeEWN-I1oV_STSDYn1IFDPWt_1FKiwhDph83XaGc0o0/edit?usp=sharing"",""งบพรบ!CU70"")"),0)</f>
        <v>0</v>
      </c>
      <c r="N189" s="92">
        <f ca="1">IFERROR(__xludf.DUMMYFUNCTION("IMPORTRANGE(""https://docs.google.com/spreadsheets/d/1MeEWN-I1oV_STSDYn1IFDPWt_1FKiwhDph83XaGc0o0/edit?usp=sharing"",""งบพรบ!CW70"")"),0)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IFERROR(__xludf.DUMMYFUNCTION("IMPORTRANGE(""https://docs.google.com/spreadsheets/d/1QqKyyYR6Q21VydFLVH3TRQUabQu_ym0Zz7PgGX0-kHA/edit?usp=sharing"",""แผน!Z70"")"),6000)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IFERROR(__xludf.DUMMYFUNCTION("IMPORTRANGE(""https://docs.google.com/spreadsheets/d/1QqKyyYR6Q21VydFLVH3TRQUabQu_ym0Zz7PgGX0-kHA/edit?usp=sharing"",""แผน!AC70"")"),4)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38980</v>
      </c>
      <c r="M198" s="154"/>
      <c r="N198" s="154">
        <f>N199+N200+N201+N202</f>
        <v>38980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IFERROR(__xludf.DUMMYFUNCTION("IMPORTRANGE(""https://docs.google.com/spreadsheets/d/1QqKyyYR6Q21VydFLVH3TRQUabQu_ym0Zz7PgGX0-kHA/edit?usp=sharing"",""แผน!AF70"")"),23980)</f>
        <v>23980</v>
      </c>
      <c r="M200" s="497"/>
      <c r="N200" s="283">
        <v>23980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IFERROR(__xludf.DUMMYFUNCTION("IMPORTRANGE(""https://docs.google.com/spreadsheets/d/1QqKyyYR6Q21VydFLVH3TRQUabQu_ym0Zz7PgGX0-kHA/edit?usp=sharing"",""แผน!AI70"")"),3)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579">
        <v>3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IFERROR(__xludf.DUMMYFUNCTION("IMPORTRANGE(""https://docs.google.com/spreadsheets/d/1QqKyyYR6Q21VydFLVH3TRQUabQu_ym0Zz7PgGX0-kHA/edit?usp=sharing"",""แผน!AN70"")"),0)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IFERROR(__xludf.DUMMYFUNCTION("IMPORTRANGE(""https://docs.google.com/spreadsheets/d/1QqKyyYR6Q21VydFLVH3TRQUabQu_ym0Zz7PgGX0-kHA/edit?usp=sharing"",""แผน!AN70"")"),0)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13000</v>
      </c>
      <c r="M217" s="154"/>
      <c r="N217" s="154">
        <f>N218+N219+N220</f>
        <v>13000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IFERROR(__xludf.DUMMYFUNCTION("IMPORTRANGE(""https://docs.google.com/spreadsheets/d/1QqKyyYR6Q21VydFLVH3TRQUabQu_ym0Zz7PgGX0-kHA/edit?usp=sharing"",""แผน!AQ70"")"),0)</f>
        <v>0</v>
      </c>
      <c r="M219" s="497"/>
      <c r="N219" s="283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3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IFERROR(__xludf.DUMMYFUNCTION("IMPORTRANGE(""https://docs.google.com/spreadsheets/d/1QqKyyYR6Q21VydFLVH3TRQUabQu_ym0Zz7PgGX0-kHA/edit?usp=sharing"",""แผน!AT70"")"),20000)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IFERROR(__xludf.DUMMYFUNCTION("IMPORTRANGE(""https://docs.google.com/spreadsheets/d/1QqKyyYR6Q21VydFLVH3TRQUabQu_ym0Zz7PgGX0-kHA/edit?usp=sharing"",""แผน!AT70"")"),20000)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IFERROR(__xludf.DUMMYFUNCTION("IMPORTRANGE(""https://docs.google.com/spreadsheets/d/1QqKyyYR6Q21VydFLVH3TRQUabQu_ym0Zz7PgGX0-kHA/edit?usp=sharing"",""แผน!AS70"")"),10)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IFERROR(__xludf.DUMMYFUNCTION("IMPORTRANGE(""https://docs.google.com/spreadsheets/d/1QqKyyYR6Q21VydFLVH3TRQUabQu_ym0Zz7PgGX0-kHA/edit?usp=sharing"",""แผน!AV70"")"),0)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IFERROR(__xludf.DUMMYFUNCTION("IMPORTRANGE(""https://docs.google.com/spreadsheets/d/1QqKyyYR6Q21VydFLVH3TRQUabQu_ym0Zz7PgGX0-kHA/edit?usp=sharing"",""แผน!AW70"")"),0)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IFERROR(__xludf.DUMMYFUNCTION("IMPORTRANGE(""https://docs.google.com/spreadsheets/d/1QqKyyYR6Q21VydFLVH3TRQUabQu_ym0Zz7PgGX0-kHA/edit?usp=sharing"",""แผน!AX70"")"),0)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IFERROR(__xludf.DUMMYFUNCTION("IMPORTRANGE(""https://docs.google.com/spreadsheets/d/1QqKyyYR6Q21VydFLVH3TRQUabQu_ym0Zz7PgGX0-kHA/edit?usp=sharing"",""แผน!AY70"")"),0)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IFERROR(__xludf.DUMMYFUNCTION("IMPORTRANGE(""https://docs.google.com/spreadsheets/d/1QqKyyYR6Q21VydFLVH3TRQUabQu_ym0Zz7PgGX0-kHA/edit?usp=sharing"",""แผน!BE70"")"),0)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IFERROR(__xludf.DUMMYFUNCTION("IMPORTRANGE(""https://docs.google.com/spreadsheets/d/1QqKyyYR6Q21VydFLVH3TRQUabQu_ym0Zz7PgGX0-kHA/edit?usp=sharing"",""แผน!AZ70"")"),0)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IFERROR(__xludf.DUMMYFUNCTION("IMPORTRANGE(""https://docs.google.com/spreadsheets/d/1QqKyyYR6Q21VydFLVH3TRQUabQu_ym0Zz7PgGX0-kHA/edit?usp=sharing"",""แผน!BA70"")"),0)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IFERROR(__xludf.DUMMYFUNCTION("IMPORTRANGE(""https://docs.google.com/spreadsheets/d/1QqKyyYR6Q21VydFLVH3TRQUabQu_ym0Zz7PgGX0-kHA/edit?usp=sharing"",""แผน!BB70"")"),0)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IFERROR(__xludf.DUMMYFUNCTION("IMPORTRANGE(""https://docs.google.com/spreadsheets/d/1QqKyyYR6Q21VydFLVH3TRQUabQu_ym0Zz7PgGX0-kHA/edit?usp=sharing"",""แผน!BC70"")"),0)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IFERROR(__xludf.DUMMYFUNCTION("IMPORTRANGE(""https://docs.google.com/spreadsheets/d/1QqKyyYR6Q21VydFLVH3TRQUabQu_ym0Zz7PgGX0-kHA/edit?usp=sharing"",""แผน!BF70"")"),0)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IFERROR(__xludf.DUMMYFUNCTION("IMPORTRANGE(""https://docs.google.com/spreadsheets/d/1MeEWN-I1oV_STSDYn1IFDPWt_1FKiwhDph83XaGc0o0/edit?usp=sharing"",""งบพรบ!CY70"")"),26900)</f>
        <v>26900</v>
      </c>
      <c r="M266" s="92">
        <f ca="1">IFERROR(__xludf.DUMMYFUNCTION("IMPORTRANGE(""https://docs.google.com/spreadsheets/d/1MeEWN-I1oV_STSDYn1IFDPWt_1FKiwhDph83XaGc0o0/edit?usp=sharing"",""งบพรบ!DD70"")"),26900)</f>
        <v>26900</v>
      </c>
      <c r="N266" s="92">
        <f ca="1">IFERROR(__xludf.DUMMYFUNCTION("IMPORTRANGE(""https://docs.google.com/spreadsheets/d/1MeEWN-I1oV_STSDYn1IFDPWt_1FKiwhDph83XaGc0o0/edit?usp=sharing"",""งบพรบ!DF70"")"),26900)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IFERROR(__xludf.DUMMYFUNCTION("IMPORTRANGE(""https://docs.google.com/spreadsheets/d/1MeEWN-I1oV_STSDYn1IFDPWt_1FKiwhDph83XaGc0o0/edit?usp=sharing"",""งบพรบ!DB70"")"),0)</f>
        <v>0</v>
      </c>
      <c r="M269" s="92">
        <f ca="1">IFERROR(__xludf.DUMMYFUNCTION("IMPORTRANGE(""https://docs.google.com/spreadsheets/d/1MeEWN-I1oV_STSDYn1IFDPWt_1FKiwhDph83XaGc0o0/edit?usp=sharing"",""งบพรบ!DE70"")"),0)</f>
        <v>0</v>
      </c>
      <c r="N269" s="92">
        <f ca="1">IFERROR(__xludf.DUMMYFUNCTION("IMPORTRANGE(""https://docs.google.com/spreadsheets/d/1MeEWN-I1oV_STSDYn1IFDPWt_1FKiwhDph83XaGc0o0/edit?usp=sharing"",""งบพรบ!DG70"")"),0)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IFERROR(__xludf.DUMMYFUNCTION("IMPORTRANGE(""https://docs.google.com/spreadsheets/d/1QqKyyYR6Q21VydFLVH3TRQUabQu_ym0Zz7PgGX0-kHA/edit?usp=sharing"",""แผน!EA70"")"),22)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IFERROR(__xludf.DUMMYFUNCTION("IMPORTRANGE(""https://docs.google.com/spreadsheets/d/1MeEWN-I1oV_STSDYn1IFDPWt_1FKiwhDph83XaGc0o0/edit?usp=sharing"",""งบพรบ!DI70"")"),0)</f>
        <v>0</v>
      </c>
      <c r="M282" s="92">
        <f ca="1">IFERROR(__xludf.DUMMYFUNCTION("IMPORTRANGE(""https://docs.google.com/spreadsheets/d/1MeEWN-I1oV_STSDYn1IFDPWt_1FKiwhDph83XaGc0o0/edit?usp=sharing"",""งบพรบ!DN70"")"),0)</f>
        <v>0</v>
      </c>
      <c r="N282" s="92">
        <f ca="1">IFERROR(__xludf.DUMMYFUNCTION("IMPORTRANGE(""https://docs.google.com/spreadsheets/d/1MeEWN-I1oV_STSDYn1IFDPWt_1FKiwhDph83XaGc0o0/edit?usp=sharing"",""งบพรบ!DP70"")"),0)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IFERROR(__xludf.DUMMYFUNCTION("IMPORTRANGE(""https://docs.google.com/spreadsheets/d/1MeEWN-I1oV_STSDYn1IFDPWt_1FKiwhDph83XaGc0o0/edit?usp=sharing"",""งบพรบ!DL70"")"),0)</f>
        <v>0</v>
      </c>
      <c r="M285" s="92">
        <f ca="1">IFERROR(__xludf.DUMMYFUNCTION("IMPORTRANGE(""https://docs.google.com/spreadsheets/d/1MeEWN-I1oV_STSDYn1IFDPWt_1FKiwhDph83XaGc0o0/edit?usp=sharing"",""งบพรบ!DO70"")"),0)</f>
        <v>0</v>
      </c>
      <c r="N285" s="92">
        <f ca="1">IFERROR(__xludf.DUMMYFUNCTION("IMPORTRANGE(""https://docs.google.com/spreadsheets/d/1MeEWN-I1oV_STSDYn1IFDPWt_1FKiwhDph83XaGc0o0/edit?usp=sharing"",""งบพรบ!DQ70"")"),0)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IFERROR(__xludf.DUMMYFUNCTION("IMPORTRANGE(""https://docs.google.com/spreadsheets/d/1QqKyyYR6Q21VydFLVH3TRQUabQu_ym0Zz7PgGX0-kHA/edit?usp=sharing"",""แผน!EC70"")"),0)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IFERROR(__xludf.DUMMYFUNCTION("IMPORTRANGE(""https://docs.google.com/spreadsheets/d/1QqKyyYR6Q21VydFLVH3TRQUabQu_ym0Zz7PgGX0-kHA/edit?usp=sharing"",""แผน!EB70"")"),0)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IFERROR(__xludf.DUMMYFUNCTION("IMPORTRANGE(""https://docs.google.com/spreadsheets/d/1QqKyyYR6Q21VydFLVH3TRQUabQu_ym0Zz7PgGX0-kHA/edit?usp=sharing"",""แผน!EB70"")"),0)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IFERROR(__xludf.DUMMYFUNCTION("IMPORTRANGE(""https://docs.google.com/spreadsheets/d/1QqKyyYR6Q21VydFLVH3TRQUabQu_ym0Zz7PgGX0-kHA/edit?usp=sharing"",""แผน!EB70"")"),0)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IFERROR(__xludf.DUMMYFUNCTION("IMPORTRANGE(""https://docs.google.com/spreadsheets/d/1QqKyyYR6Q21VydFLVH3TRQUabQu_ym0Zz7PgGX0-kHA/edit?usp=sharing"",""แผน!EB70"")"),0)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25</v>
      </c>
      <c r="J297" s="443">
        <f>J309</f>
        <v>25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244000</v>
      </c>
      <c r="M298" s="154">
        <f ca="1">M299+M300</f>
        <v>244000</v>
      </c>
      <c r="N298" s="154">
        <f ca="1">N299+N300</f>
        <v>244000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244000</v>
      </c>
      <c r="M300" s="92">
        <f t="shared" ca="1" si="52"/>
        <v>244000</v>
      </c>
      <c r="N300" s="92">
        <f t="shared" ca="1" si="52"/>
        <v>244000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244000</v>
      </c>
      <c r="M301" s="497">
        <f ca="1">M302+M303</f>
        <v>244000</v>
      </c>
      <c r="N301" s="497">
        <f ca="1">N302+N303</f>
        <v>244000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IFERROR(__xludf.DUMMYFUNCTION("IMPORTRANGE(""https://docs.google.com/spreadsheets/d/1MeEWN-I1oV_STSDYn1IFDPWt_1FKiwhDph83XaGc0o0/edit?usp=sharing"",""งบพรบ!DS70"")"),244000)</f>
        <v>244000</v>
      </c>
      <c r="M303" s="92">
        <f ca="1">IFERROR(__xludf.DUMMYFUNCTION("IMPORTRANGE(""https://docs.google.com/spreadsheets/d/1MeEWN-I1oV_STSDYn1IFDPWt_1FKiwhDph83XaGc0o0/edit?usp=sharing"",""งบพรบ!DX70"")"),244000)</f>
        <v>244000</v>
      </c>
      <c r="N303" s="92">
        <f ca="1">IFERROR(__xludf.DUMMYFUNCTION("IMPORTRANGE(""https://docs.google.com/spreadsheets/d/1MeEWN-I1oV_STSDYn1IFDPWt_1FKiwhDph83XaGc0o0/edit?usp=sharing"",""งบพรบ!DZ70"")"),244000)</f>
        <v>244000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IFERROR(__xludf.DUMMYFUNCTION("IMPORTRANGE(""https://docs.google.com/spreadsheets/d/1MeEWN-I1oV_STSDYn1IFDPWt_1FKiwhDph83XaGc0o0/edit?usp=sharing"",""งบพรบ!DV70"")"),0)</f>
        <v>0</v>
      </c>
      <c r="M306" s="92">
        <f ca="1">IFERROR(__xludf.DUMMYFUNCTION("IMPORTRANGE(""https://docs.google.com/spreadsheets/d/1MeEWN-I1oV_STSDYn1IFDPWt_1FKiwhDph83XaGc0o0/edit?usp=sharing"",""งบพรบ!DY70"")"),0)</f>
        <v>0</v>
      </c>
      <c r="N306" s="92">
        <f ca="1">IFERROR(__xludf.DUMMYFUNCTION("IMPORTRANGE(""https://docs.google.com/spreadsheets/d/1MeEWN-I1oV_STSDYn1IFDPWt_1FKiwhDph83XaGc0o0/edit?usp=sharing"",""งบพรบ!EA70"")"),0)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IFERROR(__xludf.DUMMYFUNCTION("IMPORTRANGE(""https://docs.google.com/spreadsheets/d/1QqKyyYR6Q21VydFLVH3TRQUabQu_ym0Zz7PgGX0-kHA/edit?usp=sharing"",""แผน!ED70"")"),25)</f>
        <v>25</v>
      </c>
      <c r="J309" s="214">
        <v>25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IFERROR(__xludf.DUMMYFUNCTION("IMPORTRANGE(""https://docs.google.com/spreadsheets/d/1QqKyyYR6Q21VydFLVH3TRQUabQu_ym0Zz7PgGX0-kHA/edit?usp=sharing"",""แผน!ED70"")"),25)</f>
        <v>25</v>
      </c>
      <c r="J310" s="214">
        <v>25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IFERROR(__xludf.DUMMYFUNCTION("IMPORTRANGE(""https://docs.google.com/spreadsheets/d/1QqKyyYR6Q21VydFLVH3TRQUabQu_ym0Zz7PgGX0-kHA/edit?usp=sharing"",""แผน!ED70"")"),25)</f>
        <v>25</v>
      </c>
      <c r="J311" s="214">
        <v>25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IFERROR(__xludf.DUMMYFUNCTION("IMPORTRANGE(""https://docs.google.com/spreadsheets/d/1QqKyyYR6Q21VydFLVH3TRQUabQu_ym0Zz7PgGX0-kHA/edit?usp=sharing"",""แผน!EE70"")"),5)</f>
        <v>5</v>
      </c>
      <c r="J312" s="214">
        <v>5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IFERROR(__xludf.DUMMYFUNCTION("IMPORTRANGE(""https://docs.google.com/spreadsheets/d/1MeEWN-I1oV_STSDYn1IFDPWt_1FKiwhDph83XaGc0o0/edit?usp=sharing"",""งบพรบ!EC70"")"),0)</f>
        <v>0</v>
      </c>
      <c r="M320" s="92">
        <f ca="1">IFERROR(__xludf.DUMMYFUNCTION("IMPORTRANGE(""https://docs.google.com/spreadsheets/d/1MeEWN-I1oV_STSDYn1IFDPWt_1FKiwhDph83XaGc0o0/edit?usp=sharing"",""งบพรบ!EH70"")"),0)</f>
        <v>0</v>
      </c>
      <c r="N320" s="92">
        <f ca="1">IFERROR(__xludf.DUMMYFUNCTION("IMPORTRANGE(""https://docs.google.com/spreadsheets/d/1MeEWN-I1oV_STSDYn1IFDPWt_1FKiwhDph83XaGc0o0/edit?usp=sharing"",""งบพรบ!EJ70"")"),0)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IFERROR(__xludf.DUMMYFUNCTION("IMPORTRANGE(""https://docs.google.com/spreadsheets/d/1MeEWN-I1oV_STSDYn1IFDPWt_1FKiwhDph83XaGc0o0/edit?usp=sharing"",""งบพรบ!EF70"")"),0)</f>
        <v>0</v>
      </c>
      <c r="M323" s="92">
        <f ca="1">IFERROR(__xludf.DUMMYFUNCTION("IMPORTRANGE(""https://docs.google.com/spreadsheets/d/1MeEWN-I1oV_STSDYn1IFDPWt_1FKiwhDph83XaGc0o0/edit?usp=sharing"",""งบพรบ!EI70"")"),0)</f>
        <v>0</v>
      </c>
      <c r="N323" s="92">
        <f ca="1">IFERROR(__xludf.DUMMYFUNCTION("IMPORTRANGE(""https://docs.google.com/spreadsheets/d/1MeEWN-I1oV_STSDYn1IFDPWt_1FKiwhDph83XaGc0o0/edit?usp=sharing"",""งบพรบ!EK70"")"),0)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IFERROR(__xludf.DUMMYFUNCTION("IMPORTRANGE(""https://docs.google.com/spreadsheets/d/1QqKyyYR6Q21VydFLVH3TRQUabQu_ym0Zz7PgGX0-kHA/edit?usp=sharing"",""แผน!EF70"")"),0)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IFERROR(__xludf.DUMMYFUNCTION("IMPORTRANGE(""https://docs.google.com/spreadsheets/d/1QqKyyYR6Q21VydFLVH3TRQUabQu_ym0Zz7PgGX0-kHA/edit?usp=sharing"",""แผน!EG70"")"),1500)</f>
        <v>1500</v>
      </c>
      <c r="J327" s="443">
        <f ca="1">J338+J341+J342+J343</f>
        <v>2360</v>
      </c>
      <c r="K327" s="444">
        <f ca="1">IF(I327&gt;0,J327*100/I327,0)</f>
        <v>157.33333333333334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426800</v>
      </c>
      <c r="M328" s="154">
        <f ca="1">M329+M330</f>
        <v>429300</v>
      </c>
      <c r="N328" s="154">
        <f ca="1">N329+N330</f>
        <v>429300</v>
      </c>
      <c r="O328" s="154">
        <f t="shared" ref="O328:O336" ca="1" si="56">IF(L328&gt;0,N328*100/L328,0)</f>
        <v>100.58575445173383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426800</v>
      </c>
      <c r="M330" s="92">
        <f t="shared" ca="1" si="58"/>
        <v>429300</v>
      </c>
      <c r="N330" s="92">
        <f t="shared" ca="1" si="58"/>
        <v>429300</v>
      </c>
      <c r="O330" s="92">
        <f t="shared" ca="1" si="56"/>
        <v>100.58575445173383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426800</v>
      </c>
      <c r="M331" s="497">
        <f ca="1">M332+M333</f>
        <v>429300</v>
      </c>
      <c r="N331" s="497">
        <f ca="1">N332+N333</f>
        <v>429300</v>
      </c>
      <c r="O331" s="497">
        <f t="shared" ca="1" si="56"/>
        <v>100.58575445173383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IFERROR(__xludf.DUMMYFUNCTION("IMPORTRANGE(""https://docs.google.com/spreadsheets/d/1MeEWN-I1oV_STSDYn1IFDPWt_1FKiwhDph83XaGc0o0/edit?usp=sharing"",""งบพรบ!EM70"")"),426800)</f>
        <v>426800</v>
      </c>
      <c r="M333" s="92">
        <f ca="1">IFERROR(__xludf.DUMMYFUNCTION("IMPORTRANGE(""https://docs.google.com/spreadsheets/d/1MeEWN-I1oV_STSDYn1IFDPWt_1FKiwhDph83XaGc0o0/edit?usp=sharing"",""งบพรบ!ER70"")"),429300)</f>
        <v>429300</v>
      </c>
      <c r="N333" s="92">
        <f ca="1">IFERROR(__xludf.DUMMYFUNCTION("IMPORTRANGE(""https://docs.google.com/spreadsheets/d/1MeEWN-I1oV_STSDYn1IFDPWt_1FKiwhDph83XaGc0o0/edit?usp=sharing"",""งบพรบ!ET70"")"),429300)</f>
        <v>429300</v>
      </c>
      <c r="O333" s="92">
        <f t="shared" ca="1" si="56"/>
        <v>100.58575445173383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IFERROR(__xludf.DUMMYFUNCTION("IMPORTRANGE(""https://docs.google.com/spreadsheets/d/1MeEWN-I1oV_STSDYn1IFDPWt_1FKiwhDph83XaGc0o0/edit?usp=sharing"",""งบพรบ!EP70"")"),0)</f>
        <v>0</v>
      </c>
      <c r="M336" s="92">
        <f ca="1">IFERROR(__xludf.DUMMYFUNCTION("IMPORTRANGE(""https://docs.google.com/spreadsheets/d/1MeEWN-I1oV_STSDYn1IFDPWt_1FKiwhDph83XaGc0o0/edit?usp=sharing"",""งบพรบ!ES70"")"),0)</f>
        <v>0</v>
      </c>
      <c r="N336" s="92">
        <f ca="1">IFERROR(__xludf.DUMMYFUNCTION("IMPORTRANGE(""https://docs.google.com/spreadsheets/d/1MeEWN-I1oV_STSDYn1IFDPWt_1FKiwhDph83XaGc0o0/edit?usp=sharing"",""งบพรบ!EU70"")"),0)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IFERROR(__xludf.DUMMYFUNCTION("IMPORTRANGE(""https://docs.google.com/spreadsheets/d/1QqKyyYR6Q21VydFLVH3TRQUabQu_ym0Zz7PgGX0-kHA/edit?usp=sharing"",""แผน!EG70"")"),1500)</f>
        <v>1500</v>
      </c>
      <c r="J338" s="269">
        <f ca="1">IFERROR(__xludf.DUMMYFUNCTION("IMPORTRANGE(""https://docs.google.com/spreadsheets/d/1kVcqe37tkHyjCSG3S0O1AXqVkqjo8mSIZil3BcpIysc/edit?usp=sharing"",""ศูนย์!D70"")"),2023)</f>
        <v>2023</v>
      </c>
      <c r="K338" s="497">
        <f ca="1">IF(I338&gt;0,J338*100/I338,0)</f>
        <v>134.86666666666667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IFERROR(__xludf.DUMMYFUNCTION("IMPORTRANGE(""https://docs.google.com/spreadsheets/d/1QqKyyYR6Q21VydFLVH3TRQUabQu_ym0Zz7PgGX0-kHA/edit?usp=sharing"",""แผน!EH70"")"),3)</f>
        <v>3</v>
      </c>
      <c r="J340" s="269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IFERROR(__xludf.DUMMYFUNCTION("IMPORTRANGE(""https://docs.google.com/spreadsheets/d/1kVcqe37tkHyjCSG3S0O1AXqVkqjo8mSIZil3BcpIysc/edit?usp=sharing"",""ศูนย์!G70"")"),1)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790000</v>
      </c>
      <c r="M345" s="154">
        <f ca="1">M346+M347</f>
        <v>843080</v>
      </c>
      <c r="N345" s="154">
        <f ca="1">N346+N347</f>
        <v>843080</v>
      </c>
      <c r="O345" s="154">
        <f t="shared" ref="O345:O353" ca="1" si="59">IF(L345&gt;0,N345*100/L345,0)</f>
        <v>106.71898734177215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790000</v>
      </c>
      <c r="M347" s="92">
        <f t="shared" ca="1" si="61"/>
        <v>843080</v>
      </c>
      <c r="N347" s="92">
        <f t="shared" ca="1" si="61"/>
        <v>843080</v>
      </c>
      <c r="O347" s="92">
        <f t="shared" ca="1" si="59"/>
        <v>106.71898734177215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676200</v>
      </c>
      <c r="M348" s="497">
        <f ca="1">M349+M350</f>
        <v>729280</v>
      </c>
      <c r="N348" s="497">
        <f ca="1">N349+N350</f>
        <v>729280</v>
      </c>
      <c r="O348" s="497">
        <f t="shared" ca="1" si="59"/>
        <v>107.8497485950902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IFERROR(__xludf.DUMMYFUNCTION("IMPORTRANGE(""https://docs.google.com/spreadsheets/d/1MeEWN-I1oV_STSDYn1IFDPWt_1FKiwhDph83XaGc0o0/edit?usp=sharing"",""งบพรบ!EW70"")"),676200)</f>
        <v>676200</v>
      </c>
      <c r="M350" s="92">
        <f ca="1">IFERROR(__xludf.DUMMYFUNCTION("IMPORTRANGE(""https://docs.google.com/spreadsheets/d/1MeEWN-I1oV_STSDYn1IFDPWt_1FKiwhDph83XaGc0o0/edit?usp=sharing"",""งบพรบ!FB70"")"),729280)</f>
        <v>729280</v>
      </c>
      <c r="N350" s="92">
        <f ca="1">IFERROR(__xludf.DUMMYFUNCTION("IMPORTRANGE(""https://docs.google.com/spreadsheets/d/1MeEWN-I1oV_STSDYn1IFDPWt_1FKiwhDph83XaGc0o0/edit?usp=sharing"",""งบพรบ!FD70"")"),729280)</f>
        <v>729280</v>
      </c>
      <c r="O350" s="92">
        <f t="shared" ca="1" si="59"/>
        <v>107.8497485950902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113800</v>
      </c>
      <c r="M351" s="497">
        <f ca="1">M352+M353</f>
        <v>113800</v>
      </c>
      <c r="N351" s="497">
        <f ca="1">N352+N353</f>
        <v>113800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IFERROR(__xludf.DUMMYFUNCTION("IMPORTRANGE(""https://docs.google.com/spreadsheets/d/1MeEWN-I1oV_STSDYn1IFDPWt_1FKiwhDph83XaGc0o0/edit?usp=sharing"",""งบพรบ!EZ70"")"),113800)</f>
        <v>113800</v>
      </c>
      <c r="M353" s="92">
        <f ca="1">IFERROR(__xludf.DUMMYFUNCTION("IMPORTRANGE(""https://docs.google.com/spreadsheets/d/1MeEWN-I1oV_STSDYn1IFDPWt_1FKiwhDph83XaGc0o0/edit?usp=sharing"",""งบพรบ!FC70"")"),113800)</f>
        <v>113800</v>
      </c>
      <c r="N353" s="92">
        <f ca="1">IFERROR(__xludf.DUMMYFUNCTION("IMPORTRANGE(""https://docs.google.com/spreadsheets/d/1MeEWN-I1oV_STSDYn1IFDPWt_1FKiwhDph83XaGc0o0/edit?usp=sharing"",""งบพรบ!FE70"")"),113800)</f>
        <v>113800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69</v>
      </c>
      <c r="K355" s="465">
        <f ca="1">IF(I355&gt;0,J355*100/I355,0)</f>
        <v>25.746268656716417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IFERROR(__xludf.DUMMYFUNCTION("IMPORTRANGE(""https://docs.google.com/spreadsheets/d/1XWAQStnk-4SwqDmLtmXYiTMKHgktTP8We1SCoS47DrQ/edit?usp=sharing"",""จัดที่ดิน!W70"")"),222)</f>
        <v>222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IFERROR(__xludf.DUMMYFUNCTION("IMPORTRANGE(""https://docs.google.com/spreadsheets/d/1QqKyyYR6Q21VydFLVH3TRQUabQu_ym0Zz7PgGX0-kHA/edit?usp=sharing"",""แผน!EO70"")"),2838)</f>
        <v>2838</v>
      </c>
      <c r="J359" s="269">
        <f ca="1">IFERROR(__xludf.DUMMYFUNCTION("IMPORTRANGE(""https://docs.google.com/spreadsheets/d/1XWAQStnk-4SwqDmLtmXYiTMKHgktTP8We1SCoS47DrQ/edit?usp=sharing"",""จัดที่ดิน!X70"")"),2156.56)</f>
        <v>2156.56</v>
      </c>
      <c r="K359" s="497">
        <f t="shared" ca="1" si="62"/>
        <v>75.988724453840732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IFERROR(__xludf.DUMMYFUNCTION("IMPORTRANGE(""https://docs.google.com/spreadsheets/d/1QqKyyYR6Q21VydFLVH3TRQUabQu_ym0Zz7PgGX0-kHA/edit?usp=sharing"",""แผน!EP70"")"),268)</f>
        <v>268</v>
      </c>
      <c r="J360" s="269">
        <f ca="1">IFERROR(__xludf.DUMMYFUNCTION("IMPORTRANGE(""https://docs.google.com/spreadsheets/d/1XWAQStnk-4SwqDmLtmXYiTMKHgktTP8We1SCoS47DrQ/edit?usp=sharing"",""จัดที่ดิน!Y70"")"),68)</f>
        <v>68</v>
      </c>
      <c r="K360" s="497">
        <f t="shared" ca="1" si="62"/>
        <v>25.373134328358208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IFERROR(__xludf.DUMMYFUNCTION("IMPORTRANGE(""https://docs.google.com/spreadsheets/d/1XWAQStnk-4SwqDmLtmXYiTMKHgktTP8We1SCoS47DrQ/edit?usp=sharing"",""จัดที่ดิน!Z70"")"),601.01)</f>
        <v>601.01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IFERROR(__xludf.DUMMYFUNCTION("IMPORTRANGE(""https://docs.google.com/spreadsheets/d/1QqKyyYR6Q21VydFLVH3TRQUabQu_ym0Zz7PgGX0-kHA/edit?usp=sharing"",""แผน!EP70"")"),268)</f>
        <v>268</v>
      </c>
      <c r="J362" s="269">
        <f ca="1">IFERROR(__xludf.DUMMYFUNCTION("IMPORTRANGE(""https://docs.google.com/spreadsheets/d/1XWAQStnk-4SwqDmLtmXYiTMKHgktTP8We1SCoS47DrQ/edit?usp=sharing"",""จัดที่ดิน!AA70"")"),69)</f>
        <v>69</v>
      </c>
      <c r="K362" s="497">
        <f t="shared" ca="1" si="62"/>
        <v>25.746268656716417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IFERROR(__xludf.DUMMYFUNCTION("IMPORTRANGE(""https://docs.google.com/spreadsheets/d/1XWAQStnk-4SwqDmLtmXYiTMKHgktTP8We1SCoS47DrQ/edit?usp=sharing"",""จัดที่ดิน!AB70"")"),609.729999999999)</f>
        <v>609.729999999999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398</v>
      </c>
      <c r="J364" s="478">
        <f ca="1">J365+J374</f>
        <v>257</v>
      </c>
      <c r="K364" s="479">
        <f t="shared" ca="1" si="62"/>
        <v>64.572864321608037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64</v>
      </c>
      <c r="K365" s="491">
        <f t="shared" ca="1" si="62"/>
        <v>213.33333333333334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IFERROR(__xludf.DUMMYFUNCTION("IMPORTRANGE(""https://docs.google.com/spreadsheets/d/1XWAQStnk-4SwqDmLtmXYiTMKHgktTP8We1SCoS47DrQ/edit?usp=sharing"",""จัดที่ดิน!E70"")"),102)</f>
        <v>102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IFERROR(__xludf.DUMMYFUNCTION("IMPORTRANGE(""https://docs.google.com/spreadsheets/d/1QqKyyYR6Q21VydFLVH3TRQUabQu_ym0Zz7PgGX0-kHA/edit?usp=sharing"",""แผน!EI70"")"),500)</f>
        <v>500</v>
      </c>
      <c r="J369" s="269">
        <f ca="1">IFERROR(__xludf.DUMMYFUNCTION("IMPORTRANGE(""https://docs.google.com/spreadsheets/d/1XWAQStnk-4SwqDmLtmXYiTMKHgktTP8We1SCoS47DrQ/edit?usp=sharing"",""จัดที่ดิน!F70"")"),804.09)</f>
        <v>804.09</v>
      </c>
      <c r="K369" s="497">
        <f t="shared" ca="1" si="63"/>
        <v>160.81800000000001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IFERROR(__xludf.DUMMYFUNCTION("IMPORTRANGE(""https://docs.google.com/spreadsheets/d/1QqKyyYR6Q21VydFLVH3TRQUabQu_ym0Zz7PgGX0-kHA/edit?usp=sharing"",""แผน!EJ70"")"),30)</f>
        <v>30</v>
      </c>
      <c r="J370" s="269">
        <f ca="1">IFERROR(__xludf.DUMMYFUNCTION("IMPORTRANGE(""https://docs.google.com/spreadsheets/d/1XWAQStnk-4SwqDmLtmXYiTMKHgktTP8We1SCoS47DrQ/edit?usp=sharing"",""จัดที่ดิน!G70"")"),64)</f>
        <v>64</v>
      </c>
      <c r="K370" s="497">
        <f t="shared" ca="1" si="63"/>
        <v>213.33333333333334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IFERROR(__xludf.DUMMYFUNCTION("IMPORTRANGE(""https://docs.google.com/spreadsheets/d/1XWAQStnk-4SwqDmLtmXYiTMKHgktTP8We1SCoS47DrQ/edit?usp=sharing"",""จัดที่ดิน!H70"")"),572.81)</f>
        <v>572.80999999999995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IFERROR(__xludf.DUMMYFUNCTION("IMPORTRANGE(""https://docs.google.com/spreadsheets/d/1QqKyyYR6Q21VydFLVH3TRQUabQu_ym0Zz7PgGX0-kHA/edit?usp=sharing"",""แผน!EJ70"")"),30)</f>
        <v>30</v>
      </c>
      <c r="J372" s="269">
        <f ca="1">IFERROR(__xludf.DUMMYFUNCTION("IMPORTRANGE(""https://docs.google.com/spreadsheets/d/1XWAQStnk-4SwqDmLtmXYiTMKHgktTP8We1SCoS47DrQ/edit?usp=sharing"",""จัดที่ดิน!I70"")"),64)</f>
        <v>64</v>
      </c>
      <c r="K372" s="497">
        <f t="shared" ca="1" si="63"/>
        <v>213.33333333333334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IFERROR(__xludf.DUMMYFUNCTION("IMPORTRANGE(""https://docs.google.com/spreadsheets/d/1XWAQStnk-4SwqDmLtmXYiTMKHgktTP8We1SCoS47DrQ/edit?usp=sharing"",""จัดที่ดิน!J70"")"),572.81)</f>
        <v>572.80999999999995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193</v>
      </c>
      <c r="K374" s="491">
        <f t="shared" ca="1" si="63"/>
        <v>52.445652173913047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IFERROR(__xludf.DUMMYFUNCTION("IMPORTRANGE(""https://docs.google.com/spreadsheets/d/1XWAQStnk-4SwqDmLtmXYiTMKHgktTP8We1SCoS47DrQ/edit?usp=sharing"",""จัดที่ดิน!AH70"")"),120)</f>
        <v>120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IFERROR(__xludf.DUMMYFUNCTION("IMPORTRANGE(""https://docs.google.com/spreadsheets/d/1QqKyyYR6Q21VydFLVH3TRQUabQu_ym0Zz7PgGX0-kHA/edit?usp=sharing"",""แผน!ET70"")"),2338)</f>
        <v>2338</v>
      </c>
      <c r="J378" s="269">
        <f ca="1">IFERROR(__xludf.DUMMYFUNCTION("IMPORTRANGE(""https://docs.google.com/spreadsheets/d/1XWAQStnk-4SwqDmLtmXYiTMKHgktTP8We1SCoS47DrQ/edit?usp=sharing"",""จัดที่ดิน!AI70"")"),1352.47)</f>
        <v>1352.47</v>
      </c>
      <c r="K378" s="497">
        <f t="shared" ca="1" si="64"/>
        <v>57.84730538922156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IFERROR(__xludf.DUMMYFUNCTION("IMPORTRANGE(""https://docs.google.com/spreadsheets/d/1QqKyyYR6Q21VydFLVH3TRQUabQu_ym0Zz7PgGX0-kHA/edit?usp=sharing"",""แผน!EU70"")"),368)</f>
        <v>368</v>
      </c>
      <c r="J379" s="269">
        <f ca="1">IFERROR(__xludf.DUMMYFUNCTION("IMPORTRANGE(""https://docs.google.com/spreadsheets/d/1XWAQStnk-4SwqDmLtmXYiTMKHgktTP8We1SCoS47DrQ/edit?usp=sharing"",""จัดที่ดิน!AJ70"")"),192)</f>
        <v>192</v>
      </c>
      <c r="K379" s="497">
        <f t="shared" ca="1" si="64"/>
        <v>52.173913043478258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IFERROR(__xludf.DUMMYFUNCTION("IMPORTRANGE(""https://docs.google.com/spreadsheets/d/1XWAQStnk-4SwqDmLtmXYiTMKHgktTP8We1SCoS47DrQ/edit?usp=sharing"",""จัดที่ดิน!AK70"")"),2972.56)</f>
        <v>2972.56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IFERROR(__xludf.DUMMYFUNCTION("IMPORTRANGE(""https://docs.google.com/spreadsheets/d/1QqKyyYR6Q21VydFLVH3TRQUabQu_ym0Zz7PgGX0-kHA/edit?usp=sharing"",""แผน!EU70"")"),368)</f>
        <v>368</v>
      </c>
      <c r="J381" s="269">
        <f ca="1">IFERROR(__xludf.DUMMYFUNCTION("IMPORTRANGE(""https://docs.google.com/spreadsheets/d/1XWAQStnk-4SwqDmLtmXYiTMKHgktTP8We1SCoS47DrQ/edit?usp=sharing"",""จัดที่ดิน!AL70"")"),193)</f>
        <v>193</v>
      </c>
      <c r="K381" s="497">
        <f t="shared" ca="1" si="64"/>
        <v>52.445652173913047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IFERROR(__xludf.DUMMYFUNCTION("IMPORTRANGE(""https://docs.google.com/spreadsheets/d/1XWAQStnk-4SwqDmLtmXYiTMKHgktTP8We1SCoS47DrQ/edit?usp=sharing"",""จัดที่ดิน!AM70"")"),2981.28)</f>
        <v>2981.28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359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IFERROR(__xludf.DUMMYFUNCTION("IMPORTRANGE(""https://docs.google.com/spreadsheets/d/1XWAQStnk-4SwqDmLtmXYiTMKHgktTP8We1SCoS47DrQ/edit?usp=sharing"",""จัดที่ดิน!AP70"")"),17)</f>
        <v>17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IFERROR(__xludf.DUMMYFUNCTION("IMPORTRANGE(""https://docs.google.com/spreadsheets/d/1MeEWN-I1oV_STSDYn1IFDPWt_1FKiwhDph83XaGc0o0/edit?usp=sharing"",""งบพรบ!FG70"")"),0)</f>
        <v>0</v>
      </c>
      <c r="M394" s="92">
        <f ca="1">IFERROR(__xludf.DUMMYFUNCTION("IMPORTRANGE(""https://docs.google.com/spreadsheets/d/1MeEWN-I1oV_STSDYn1IFDPWt_1FKiwhDph83XaGc0o0/edit?usp=sharing"",""งบพรบ!FL70"")"),0)</f>
        <v>0</v>
      </c>
      <c r="N394" s="92">
        <f ca="1">IFERROR(__xludf.DUMMYFUNCTION("IMPORTRANGE(""https://docs.google.com/spreadsheets/d/1MeEWN-I1oV_STSDYn1IFDPWt_1FKiwhDph83XaGc0o0/edit?usp=sharing"",""งบพรบ!FN70"")"),0)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IFERROR(__xludf.DUMMYFUNCTION("IMPORTRANGE(""https://docs.google.com/spreadsheets/d/1MeEWN-I1oV_STSDYn1IFDPWt_1FKiwhDph83XaGc0o0/edit?usp=sharing"",""งบพรบ!FJ70"")"),0)</f>
        <v>0</v>
      </c>
      <c r="M397" s="92">
        <f ca="1">IFERROR(__xludf.DUMMYFUNCTION("IMPORTRANGE(""https://docs.google.com/spreadsheets/d/1MeEWN-I1oV_STSDYn1IFDPWt_1FKiwhDph83XaGc0o0/edit?usp=sharing"",""งบพรบ!FM70"")"),0)</f>
        <v>0</v>
      </c>
      <c r="N397" s="92">
        <f ca="1">IFERROR(__xludf.DUMMYFUNCTION("IMPORTRANGE(""https://docs.google.com/spreadsheets/d/1MeEWN-I1oV_STSDYn1IFDPWt_1FKiwhDph83XaGc0o0/edit?usp=sharing"",""งบพรบ!FO70"")"),0)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IFERROR(__xludf.DUMMYFUNCTION("IMPORTRANGE(""https://docs.google.com/spreadsheets/d/1MeEWN-I1oV_STSDYn1IFDPWt_1FKiwhDph83XaGc0o0/edit?usp=sharing"",""งบพรบ!FQ70"")"),0)</f>
        <v>0</v>
      </c>
      <c r="M407" s="92">
        <f ca="1">IFERROR(__xludf.DUMMYFUNCTION("IMPORTRANGE(""https://docs.google.com/spreadsheets/d/1MeEWN-I1oV_STSDYn1IFDPWt_1FKiwhDph83XaGc0o0/edit?usp=sharing"",""งบพรบ!FV70"")"),0)</f>
        <v>0</v>
      </c>
      <c r="N407" s="92">
        <f ca="1">IFERROR(__xludf.DUMMYFUNCTION("IMPORTRANGE(""https://docs.google.com/spreadsheets/d/1MeEWN-I1oV_STSDYn1IFDPWt_1FKiwhDph83XaGc0o0/edit?usp=sharing"",""งบพรบ!FX70"")"),0)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IFERROR(__xludf.DUMMYFUNCTION("IMPORTRANGE(""https://docs.google.com/spreadsheets/d/1MeEWN-I1oV_STSDYn1IFDPWt_1FKiwhDph83XaGc0o0/edit?usp=sharing"",""งบพรบ!FT70"")"),0)</f>
        <v>0</v>
      </c>
      <c r="M410" s="92">
        <f ca="1">IFERROR(__xludf.DUMMYFUNCTION("IMPORTRANGE(""https://docs.google.com/spreadsheets/d/1MeEWN-I1oV_STSDYn1IFDPWt_1FKiwhDph83XaGc0o0/edit?usp=sharing"",""งบพรบ!FW70"")"),0)</f>
        <v>0</v>
      </c>
      <c r="N410" s="92">
        <f ca="1">IFERROR(__xludf.DUMMYFUNCTION("IMPORTRANGE(""https://docs.google.com/spreadsheets/d/1MeEWN-I1oV_STSDYn1IFDPWt_1FKiwhDph83XaGc0o0/edit?usp=sharing"",""งบพรบ!FY70"")"),0)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1157263</v>
      </c>
      <c r="M414" s="549">
        <f ca="1">M419+M444+M467+M502+M523+M544+M629+M655+M685+M737+M754+M770+M786+M805</f>
        <v>843291</v>
      </c>
      <c r="N414" s="549">
        <f>N419+N444+N467+N502+N523+N544+N629+N655+N685+N737+N754+N770+N786+N805</f>
        <v>843291</v>
      </c>
      <c r="O414" s="549">
        <f ca="1">IF(L414&gt;0,N414*100/L414,0)</f>
        <v>72.869434173562965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78660</v>
      </c>
      <c r="N419" s="154">
        <f>N420+N421</f>
        <v>78660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78660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78660</v>
      </c>
      <c r="N422" s="497">
        <f>N423+N424</f>
        <v>78660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IFERROR(__xludf.DUMMYFUNCTION("IMPORTRANGE(""https://docs.google.com/spreadsheets/d/1QqKyyYR6Q21VydFLVH3TRQUabQu_ym0Zz7PgGX0-kHA/edit?usp=sharing"",""แผน!EY70"")"),78660)</f>
        <v>78660</v>
      </c>
      <c r="M424" s="92">
        <f ca="1">L424</f>
        <v>78660</v>
      </c>
      <c r="N424" s="92">
        <f>N425+N426+N427+N428</f>
        <v>78660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36980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41680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IFERROR(__xludf.DUMMYFUNCTION("IMPORTRANGE(""https://docs.google.com/spreadsheets/d/1QqKyyYR6Q21VydFLVH3TRQUabQu_ym0Zz7PgGX0-kHA/edit?usp=sharing"",""แผน!FB70"")"),0)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IFERROR(__xludf.DUMMYFUNCTION("IMPORTRANGE(""https://docs.google.com/spreadsheets/d/1QqKyyYR6Q21VydFLVH3TRQUabQu_ym0Zz7PgGX0-kHA/edit?usp=sharing"",""แผน!FE70"")"),0)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IFERROR(__xludf.DUMMYFUNCTION("IMPORTRANGE(""https://docs.google.com/spreadsheets/d/1QqKyyYR6Q21VydFLVH3TRQUabQu_ym0Zz7PgGX0-kHA/edit?usp=sharing"",""แผน!FG70"")"),1)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IFERROR(__xludf.DUMMYFUNCTION("IMPORTRANGE(""https://docs.google.com/spreadsheets/d/1QqKyyYR6Q21VydFLVH3TRQUabQu_ym0Zz7PgGX0-kHA/edit?usp=sharing"",""แผน!FH70"")"),0)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10</v>
      </c>
      <c r="J442" s="585">
        <f>J460</f>
        <v>10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</v>
      </c>
      <c r="J443" s="565">
        <f>J462</f>
        <v>20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70160</v>
      </c>
      <c r="M444" s="194">
        <f ca="1">M445+M446</f>
        <v>94800</v>
      </c>
      <c r="N444" s="194">
        <f>N445+N446</f>
        <v>94800</v>
      </c>
      <c r="O444" s="194">
        <f t="shared" ref="O444:O449" ca="1" si="75">IF(L444&gt;0,N444*100/L444,0)</f>
        <v>135.11972633979477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70160</v>
      </c>
      <c r="M446" s="92">
        <f t="shared" ca="1" si="77"/>
        <v>94800</v>
      </c>
      <c r="N446" s="92">
        <f t="shared" si="77"/>
        <v>94800</v>
      </c>
      <c r="O446" s="92">
        <f t="shared" ca="1" si="75"/>
        <v>135.11972633979477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70160</v>
      </c>
      <c r="M447" s="497">
        <f ca="1">M448+M449</f>
        <v>94800</v>
      </c>
      <c r="N447" s="497">
        <f>N448+N449</f>
        <v>94800</v>
      </c>
      <c r="O447" s="497">
        <f t="shared" ca="1" si="75"/>
        <v>135.11972633979477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IFERROR(__xludf.DUMMYFUNCTION("IMPORTRANGE(""https://docs.google.com/spreadsheets/d/1QqKyyYR6Q21VydFLVH3TRQUabQu_ym0Zz7PgGX0-kHA/edit?usp=sharing"",""แผน!FJ70"")"),70160)</f>
        <v>70160</v>
      </c>
      <c r="M449" s="92">
        <f ca="1">L449+42766-18126</f>
        <v>94800</v>
      </c>
      <c r="N449" s="92">
        <f>N450+N451+N452+N453</f>
        <v>94800</v>
      </c>
      <c r="O449" s="92">
        <f t="shared" ca="1" si="75"/>
        <v>135.11972633979477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47720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20080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IFERROR(__xludf.DUMMYFUNCTION("IMPORTRANGE(""https://docs.google.com/spreadsheets/d/1QqKyyYR6Q21VydFLVH3TRQUabQu_ym0Zz7PgGX0-kHA/edit?usp=sharing"",""แผน!FM70"")"),0)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IFERROR(__xludf.DUMMYFUNCTION("IMPORTRANGE(""https://docs.google.com/spreadsheets/d/1QqKyyYR6Q21VydFLVH3TRQUabQu_ym0Zz7PgGX0-kHA/edit?usp=sharing"",""แผน!FN70"")"),10)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IFERROR(__xludf.DUMMYFUNCTION("IMPORTRANGE(""https://docs.google.com/spreadsheets/d/1QqKyyYR6Q21VydFLVH3TRQUabQu_ym0Zz7PgGX0-kHA/edit?usp=sharing"",""แผน!FO70"")"),20)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IFERROR(__xludf.DUMMYFUNCTION("IMPORTRANGE(""https://docs.google.com/spreadsheets/d/1QqKyyYR6Q21VydFLVH3TRQUabQu_ym0Zz7PgGX0-kHA/edit?usp=sharing"",""แผน!FO70"")"),20)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IFERROR(__xludf.DUMMYFUNCTION("IMPORTRANGE(""https://docs.google.com/spreadsheets/d/1QqKyyYR6Q21VydFLVH3TRQUabQu_ym0Zz7PgGX0-kHA/edit?usp=sharing"",""แผน!FN70"")"),10)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174403</v>
      </c>
      <c r="M467" s="194">
        <f ca="1">M468+M469</f>
        <v>179063</v>
      </c>
      <c r="N467" s="194">
        <f>N468+N469</f>
        <v>179063</v>
      </c>
      <c r="O467" s="194">
        <f t="shared" ref="O467:O472" ca="1" si="78">IF(L467&gt;0,N467*100/L467,0)</f>
        <v>102.67197238579611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174403</v>
      </c>
      <c r="M469" s="92">
        <f t="shared" ca="1" si="80"/>
        <v>179063</v>
      </c>
      <c r="N469" s="92">
        <f t="shared" si="80"/>
        <v>179063</v>
      </c>
      <c r="O469" s="92">
        <f t="shared" ca="1" si="78"/>
        <v>102.67197238579611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174403</v>
      </c>
      <c r="M470" s="497">
        <f ca="1">M471+M472</f>
        <v>179063</v>
      </c>
      <c r="N470" s="497">
        <f>N471+N472</f>
        <v>179063</v>
      </c>
      <c r="O470" s="497">
        <f t="shared" ca="1" si="78"/>
        <v>102.67197238579611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IFERROR(__xludf.DUMMYFUNCTION("IMPORTRANGE(""https://docs.google.com/spreadsheets/d/1QqKyyYR6Q21VydFLVH3TRQUabQu_ym0Zz7PgGX0-kHA/edit?usp=sharing"",""แผน!FS70"")"),174403)</f>
        <v>174403</v>
      </c>
      <c r="M472" s="92">
        <f ca="1">L472+4660</f>
        <v>179063</v>
      </c>
      <c r="N472" s="92">
        <f>N473+N474+N475+N476</f>
        <v>179063</v>
      </c>
      <c r="O472" s="92">
        <f t="shared" ca="1" si="78"/>
        <v>102.67197238579611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47823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7240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IFERROR(__xludf.DUMMYFUNCTION("IMPORTRANGE(""https://docs.google.com/spreadsheets/d/1QqKyyYR6Q21VydFLVH3TRQUabQu_ym0Zz7PgGX0-kHA/edit?usp=sharing"",""แผน!FV70"")"),0)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IFERROR(__xludf.DUMMYFUNCTION("IMPORTRANGE(""https://docs.google.com/spreadsheets/d/1QqKyyYR6Q21VydFLVH3TRQUabQu_ym0Zz7PgGX0-kHA/edit?usp=sharing"",""แผน!FY70"")"),180)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IFERROR(__xludf.DUMMYFUNCTION("IMPORTRANGE(""https://docs.google.com/spreadsheets/d/1QqKyyYR6Q21VydFLVH3TRQUabQu_ym0Zz7PgGX0-kHA/edit?usp=sharing"",""แผน!FZ70"")"),18)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IFERROR(__xludf.DUMMYFUNCTION("IMPORTRANGE(""https://docs.google.com/spreadsheets/d/1QqKyyYR6Q21VydFLVH3TRQUabQu_ym0Zz7PgGX0-kHA/edit?usp=sharing"",""แผน!GA70"")"),20)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IFERROR(__xludf.DUMMYFUNCTION("IMPORTRANGE(""https://docs.google.com/spreadsheets/d/1QqKyyYR6Q21VydFLVH3TRQUabQu_ym0Zz7PgGX0-kHA/edit?usp=sharing"",""แผน!GB70"")"),2)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IFERROR(__xludf.DUMMYFUNCTION("IMPORTRANGE(""https://docs.google.com/spreadsheets/d/1QqKyyYR6Q21VydFLVH3TRQUabQu_ym0Zz7PgGX0-kHA/edit?usp=sharing"",""แผน!GC70"")"),1)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IFERROR(__xludf.DUMMYFUNCTION("IMPORTRANGE(""https://docs.google.com/spreadsheets/d/1QqKyyYR6Q21VydFLVH3TRQUabQu_ym0Zz7PgGX0-kHA/edit?usp=sharing"",""แผน!FY70"")"),180)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IFERROR(__xludf.DUMMYFUNCTION("IMPORTRANGE(""https://docs.google.com/spreadsheets/d/1QqKyyYR6Q21VydFLVH3TRQUabQu_ym0Zz7PgGX0-kHA/edit?usp=sharing"",""แผน!GA70"")"),20)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IFERROR(__xludf.DUMMYFUNCTION("IMPORTRANGE(""https://docs.google.com/spreadsheets/d/1QqKyyYR6Q21VydFLVH3TRQUabQu_ym0Zz7PgGX0-kHA/edit?usp=sharing"",""แผน!GQ70"")"),0)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IFERROR(__xludf.DUMMYFUNCTION("IMPORTRANGE(""https://docs.google.com/spreadsheets/d/1QqKyyYR6Q21VydFLVH3TRQUabQu_ym0Zz7PgGX0-kHA/edit?usp=sharing"",""แผน!GT70"")"),0)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IFERROR(__xludf.DUMMYFUNCTION("IMPORTRANGE(""https://docs.google.com/spreadsheets/d/1QqKyyYR6Q21VydFLVH3TRQUabQu_ym0Zz7PgGX0-kHA/edit?usp=sharing"",""แผน!GV70"")"),0)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IFERROR(__xludf.DUMMYFUNCTION("IMPORTRANGE(""https://docs.google.com/spreadsheets/d/1QqKyyYR6Q21VydFLVH3TRQUabQu_ym0Zz7PgGX0-kHA/edit?usp=sharing"",""แผน!GW70"")"),0)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IFERROR(__xludf.DUMMYFUNCTION("IMPORTRANGE(""https://docs.google.com/spreadsheets/d/1QqKyyYR6Q21VydFLVH3TRQUabQu_ym0Zz7PgGX0-kHA/edit?usp=sharing"",""แผน!GX70"")"),0)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IFERROR(__xludf.DUMMYFUNCTION("IMPORTRANGE(""https://docs.google.com/spreadsheets/d/1QqKyyYR6Q21VydFLVH3TRQUabQu_ym0Zz7PgGX0-kHA/edit?usp=sharing"",""แผน!GY70"")"),0)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IFERROR(__xludf.DUMMYFUNCTION("IMPORTRANGE(""https://docs.google.com/spreadsheets/d/1QqKyyYR6Q21VydFLVH3TRQUabQu_ym0Zz7PgGX0-kHA/edit?usp=sharing"",""แผน!GZ70"")"),0)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248300</v>
      </c>
      <c r="M544" s="154">
        <f ca="1">M545+M546</f>
        <v>246568</v>
      </c>
      <c r="N544" s="154">
        <f>N545+N546</f>
        <v>246568</v>
      </c>
      <c r="O544" s="154">
        <f t="shared" ref="O544:O549" ca="1" si="88">IF(L544&gt;0,N544*100/L544,0)</f>
        <v>99.302456705598061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248300</v>
      </c>
      <c r="M546" s="92">
        <f ca="1">M549+M556</f>
        <v>246568</v>
      </c>
      <c r="N546" s="92">
        <f>N549+N556</f>
        <v>246568</v>
      </c>
      <c r="O546" s="92">
        <f t="shared" ca="1" si="88"/>
        <v>99.302456705598061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248300</v>
      </c>
      <c r="M547" s="497">
        <f ca="1">M548+M549</f>
        <v>246568</v>
      </c>
      <c r="N547" s="497">
        <f>N548+N549</f>
        <v>246568</v>
      </c>
      <c r="O547" s="497">
        <f t="shared" ca="1" si="88"/>
        <v>99.302456705598061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IFERROR(__xludf.DUMMYFUNCTION("IMPORTRANGE(""https://docs.google.com/spreadsheets/d/1QqKyyYR6Q21VydFLVH3TRQUabQu_ym0Zz7PgGX0-kHA/edit?usp=sharing"",""แผน!HB70"")"),248300)</f>
        <v>248300</v>
      </c>
      <c r="M549" s="92">
        <f ca="1">L549-1732</f>
        <v>246568</v>
      </c>
      <c r="N549" s="92">
        <f>N550+N551+N552+N553+N554</f>
        <v>246568</v>
      </c>
      <c r="O549" s="92">
        <f t="shared" ca="1" si="88"/>
        <v>99.302456705598061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141268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107032-1732</f>
        <v>105300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IFERROR(__xludf.DUMMYFUNCTION("IMPORTRANGE(""https://docs.google.com/spreadsheets/d/1QqKyyYR6Q21VydFLVH3TRQUabQu_ym0Zz7PgGX0-kHA/edit?usp=sharing"",""แผน!HF70"")"),0)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IFERROR(__xludf.DUMMYFUNCTION("IMPORTRANGE(""https://docs.google.com/spreadsheets/d/1QqKyyYR6Q21VydFLVH3TRQUabQu_ym0Zz7PgGX0-kHA/edit?usp=sharing"",""แผน!HH70"")"),0)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IFERROR(__xludf.DUMMYFUNCTION("IMPORTRANGE(""https://docs.google.com/spreadsheets/d/1QqKyyYR6Q21VydFLVH3TRQUabQu_ym0Zz7PgGX0-kHA/edit?usp=sharing"",""แผน!HG70"")"),0)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IFERROR(__xludf.DUMMYFUNCTION("IMPORTRANGE(""https://docs.google.com/spreadsheets/d/1QqKyyYR6Q21VydFLVH3TRQUabQu_ym0Zz7PgGX0-kHA/edit?usp=sharing"",""แผน!HH70"")"),0)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IFERROR(__xludf.DUMMYFUNCTION("IMPORTRANGE(""https://docs.google.com/spreadsheets/d/1QqKyyYR6Q21VydFLVH3TRQUabQu_ym0Zz7PgGX0-kHA/edit?usp=sharing"",""แผน!HG70"")"),0)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IFERROR(__xludf.DUMMYFUNCTION("IMPORTRANGE(""https://docs.google.com/spreadsheets/d/1QqKyyYR6Q21VydFLVH3TRQUabQu_ym0Zz7PgGX0-kHA/edit?usp=sharing"",""แผน!HH70"")"),0)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IFERROR(__xludf.DUMMYFUNCTION("IMPORTRANGE(""https://docs.google.com/spreadsheets/d/1QqKyyYR6Q21VydFLVH3TRQUabQu_ym0Zz7PgGX0-kHA/edit?usp=sharing"",""แผน!HG70"")"),0)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641.15</v>
      </c>
      <c r="J592" s="703">
        <f>J593</f>
        <v>641.15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2">
        <f>J595+J603+J609</f>
        <v>641.15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IFERROR(__xludf.DUMMYFUNCTION("IMPORTRANGE(""https://docs.google.com/spreadsheets/d/1QqKyyYR6Q21VydFLVH3TRQUabQu_ym0Zz7PgGX0-kHA/edit?usp=sharing"",""แผน!HI70"")"),121)</f>
        <v>121</v>
      </c>
      <c r="J594" s="192">
        <f>J596+J604+J610</f>
        <v>121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481.15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110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473.15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109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8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1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65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6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6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95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5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250</v>
      </c>
      <c r="J628" s="736">
        <f ca="1">J651</f>
        <v>43</v>
      </c>
      <c r="K628" s="737">
        <f ca="1">IF(I628&gt;0,J628*100/I628,0)</f>
        <v>17.2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565480</v>
      </c>
      <c r="M629" s="194">
        <f ca="1">M630+M631</f>
        <v>230904</v>
      </c>
      <c r="N629" s="194">
        <f>N630+N631</f>
        <v>230904</v>
      </c>
      <c r="O629" s="194">
        <f t="shared" ref="O629:O634" ca="1" si="90">IF(L629&gt;0,N629*100/L629,0)</f>
        <v>40.833274386362028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565480</v>
      </c>
      <c r="M631" s="92">
        <f t="shared" ca="1" si="92"/>
        <v>230904</v>
      </c>
      <c r="N631" s="92">
        <f t="shared" si="92"/>
        <v>230904</v>
      </c>
      <c r="O631" s="92">
        <f t="shared" ca="1" si="90"/>
        <v>40.833274386362028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565480</v>
      </c>
      <c r="M632" s="497">
        <f ca="1">M633+M634</f>
        <v>230904</v>
      </c>
      <c r="N632" s="497">
        <f>N633+N634</f>
        <v>230904</v>
      </c>
      <c r="O632" s="497">
        <f t="shared" ca="1" si="90"/>
        <v>40.833274386362028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IFERROR(__xludf.DUMMYFUNCTION("IMPORTRANGE(""https://docs.google.com/spreadsheets/d/1QqKyyYR6Q21VydFLVH3TRQUabQu_ym0Zz7PgGX0-kHA/edit?usp=sharing"",""แผน!HN70"")"),565480)</f>
        <v>565480</v>
      </c>
      <c r="M634" s="92">
        <f ca="1">L634-334576</f>
        <v>230904</v>
      </c>
      <c r="N634" s="92">
        <f>N635+N636+N637+N638</f>
        <v>230904</v>
      </c>
      <c r="O634" s="92">
        <f t="shared" ca="1" si="90"/>
        <v>40.833274386362028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89701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151062.14-9859.14</f>
        <v>141203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IFERROR(__xludf.DUMMYFUNCTION("IMPORTRANGE(""https://docs.google.com/spreadsheets/d/1QqKyyYR6Q21VydFLVH3TRQUabQu_ym0Zz7PgGX0-kHA/edit?usp=sharing"",""แผน!HQ70"")"),0)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IFERROR(__xludf.DUMMYFUNCTION("IMPORTRANGE(""https://docs.google.com/spreadsheets/d/1QqKyyYR6Q21VydFLVH3TRQUabQu_ym0Zz7PgGX0-kHA/edit?usp=sharing"",""แผน!HR70"")"),0)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IFERROR(__xludf.DUMMYFUNCTION("IMPORTRANGE(""https://docs.google.com/spreadsheets/d/1QqKyyYR6Q21VydFLVH3TRQUabQu_ym0Zz7PgGX0-kHA/edit?usp=sharing"",""แผน!HR70"")"),0)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IFERROR(__xludf.DUMMYFUNCTION("IMPORTRANGE(""https://docs.google.com/spreadsheets/d/1XWAQStnk-4SwqDmLtmXYiTMKHgktTP8We1SCoS47DrQ/edit?usp=sharing"",""จัดที่ดิน!AS70"")"),120)</f>
        <v>120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IFERROR(__xludf.DUMMYFUNCTION("IMPORTRANGE(""https://docs.google.com/spreadsheets/d/1XWAQStnk-4SwqDmLtmXYiTMKHgktTP8We1SCoS47DrQ/edit?usp=sharing"",""จัดที่ดิน!AT70"")"),92.04)</f>
        <v>92.04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IFERROR(__xludf.DUMMYFUNCTION("IMPORTRANGE(""https://docs.google.com/spreadsheets/d/1QqKyyYR6Q21VydFLVH3TRQUabQu_ym0Zz7PgGX0-kHA/edit?usp=sharing"",""แผน!HS70"")"),250)</f>
        <v>250</v>
      </c>
      <c r="J647" s="269">
        <f ca="1">IFERROR(__xludf.DUMMYFUNCTION("IMPORTRANGE(""https://docs.google.com/spreadsheets/d/1XWAQStnk-4SwqDmLtmXYiTMKHgktTP8We1SCoS47DrQ/edit?usp=sharing"",""จัดที่ดิน!AU70"")"),87)</f>
        <v>87</v>
      </c>
      <c r="K647" s="162">
        <f t="shared" ca="1" si="93"/>
        <v>34.799999999999997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IFERROR(__xludf.DUMMYFUNCTION("IMPORTRANGE(""https://docs.google.com/spreadsheets/d/1XWAQStnk-4SwqDmLtmXYiTMKHgktTP8We1SCoS47DrQ/edit?usp=sharing"",""จัดที่ดิน!AV70"")"),74.92)</f>
        <v>74.92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IFERROR(__xludf.DUMMYFUNCTION("IMPORTRANGE(""https://docs.google.com/spreadsheets/d/1QqKyyYR6Q21VydFLVH3TRQUabQu_ym0Zz7PgGX0-kHA/edit?usp=sharing"",""แผน!HS70"")"),250)</f>
        <v>250</v>
      </c>
      <c r="J649" s="269">
        <f ca="1">IFERROR(__xludf.DUMMYFUNCTION("IMPORTRANGE(""https://docs.google.com/spreadsheets/d/1XWAQStnk-4SwqDmLtmXYiTMKHgktTP8We1SCoS47DrQ/edit?usp=sharing"",""จัดที่ดิน!AW70"")"),43)</f>
        <v>43</v>
      </c>
      <c r="K649" s="162">
        <f t="shared" ca="1" si="93"/>
        <v>17.2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IFERROR(__xludf.DUMMYFUNCTION("IMPORTRANGE(""https://docs.google.com/spreadsheets/d/1XWAQStnk-4SwqDmLtmXYiTMKHgktTP8We1SCoS47DrQ/edit?usp=sharing"",""จัดที่ดิน!AX70"")"),40.75)</f>
        <v>40.75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IFERROR(__xludf.DUMMYFUNCTION("IMPORTRANGE(""https://docs.google.com/spreadsheets/d/1QqKyyYR6Q21VydFLVH3TRQUabQu_ym0Zz7PgGX0-kHA/edit?usp=sharing"",""แผน!HS70"")"),250)</f>
        <v>250</v>
      </c>
      <c r="J651" s="269">
        <f ca="1">IFERROR(__xludf.DUMMYFUNCTION("IMPORTRANGE(""https://docs.google.com/spreadsheets/d/1XWAQStnk-4SwqDmLtmXYiTMKHgktTP8We1SCoS47DrQ/edit?usp=sharing"",""จัดที่ดิน!AY70"")"),43)</f>
        <v>43</v>
      </c>
      <c r="K651" s="162">
        <f t="shared" ca="1" si="93"/>
        <v>17.2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IFERROR(__xludf.DUMMYFUNCTION("IMPORTRANGE(""https://docs.google.com/spreadsheets/d/1XWAQStnk-4SwqDmLtmXYiTMKHgktTP8We1SCoS47DrQ/edit?usp=sharing"",""จัดที่ดิน!AZ70"")"),40.75)</f>
        <v>40.75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11000</v>
      </c>
      <c r="M655" s="194">
        <f ca="1">M656+M657</f>
        <v>4036</v>
      </c>
      <c r="N655" s="194">
        <f>N656+N657</f>
        <v>4036</v>
      </c>
      <c r="O655" s="194">
        <f t="shared" ref="O655:O660" ca="1" si="94">IF(L655&gt;0,N655*100/L655,0)</f>
        <v>36.690909090909088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11000</v>
      </c>
      <c r="M657" s="92">
        <f t="shared" ca="1" si="96"/>
        <v>4036</v>
      </c>
      <c r="N657" s="92">
        <f t="shared" si="96"/>
        <v>4036</v>
      </c>
      <c r="O657" s="92">
        <f t="shared" ca="1" si="94"/>
        <v>36.690909090909088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11000</v>
      </c>
      <c r="M658" s="497">
        <f ca="1">M659+M660</f>
        <v>4036</v>
      </c>
      <c r="N658" s="497">
        <f>N659+N660</f>
        <v>4036</v>
      </c>
      <c r="O658" s="497">
        <f t="shared" ca="1" si="94"/>
        <v>36.690909090909088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IFERROR(__xludf.DUMMYFUNCTION("IMPORTRANGE(""https://docs.google.com/spreadsheets/d/1QqKyyYR6Q21VydFLVH3TRQUabQu_ym0Zz7PgGX0-kHA/edit?usp=sharing"",""แผน!HV70"")"),11000)</f>
        <v>11000</v>
      </c>
      <c r="M660" s="92">
        <f ca="1">L660-6964</f>
        <v>4036</v>
      </c>
      <c r="N660" s="92">
        <f>N661+N662+N663+N664</f>
        <v>4036</v>
      </c>
      <c r="O660" s="92">
        <f t="shared" ca="1" si="94"/>
        <v>36.690909090909088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4036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IFERROR(__xludf.DUMMYFUNCTION("IMPORTRANGE(""https://docs.google.com/spreadsheets/d/1QqKyyYR6Q21VydFLVH3TRQUabQu_ym0Zz7PgGX0-kHA/edit?usp=sharing"",""แผน!HZ70"")"),5)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IFERROR(__xludf.DUMMYFUNCTION("IMPORTRANGE(""https://docs.google.com/spreadsheets/d/1QqKyyYR6Q21VydFLVH3TRQUabQu_ym0Zz7PgGX0-kHA/edit?usp=sharing"",""แผน!HZ70"")"),5)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9260</v>
      </c>
      <c r="M685" s="194">
        <f ca="1">M686+M687</f>
        <v>9260</v>
      </c>
      <c r="N685" s="194">
        <f>N686+N687</f>
        <v>9260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9260</v>
      </c>
      <c r="M687" s="92">
        <f t="shared" ca="1" si="97"/>
        <v>9260</v>
      </c>
      <c r="N687" s="92">
        <f t="shared" si="97"/>
        <v>9260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9260</v>
      </c>
      <c r="M688" s="497">
        <f ca="1">M689+M690</f>
        <v>9260</v>
      </c>
      <c r="N688" s="497">
        <f>N689+N690</f>
        <v>9260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IFERROR(__xludf.DUMMYFUNCTION("IMPORTRANGE(""https://docs.google.com/spreadsheets/d/1QqKyyYR6Q21VydFLVH3TRQUabQu_ym0Zz7PgGX0-kHA/edit?usp=sharing"",""แผน!HW70"")"),9260)</f>
        <v>9260</v>
      </c>
      <c r="M690" s="92">
        <f ca="1">L690</f>
        <v>9260</v>
      </c>
      <c r="N690" s="92">
        <f>N691+N692+N693+N694</f>
        <v>9260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9260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69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69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69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5</v>
      </c>
      <c r="K721" s="194">
        <f ca="1">IF(I721&gt;0,J721*100/I721,0)</f>
        <v>33.333333333333336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38.064999999999998</v>
      </c>
      <c r="K722" s="194">
        <f ca="1">IF(I722&gt;0,J722*100/I722,0)</f>
        <v>25.376666666666665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69">
        <f ca="1">IFERROR(__xludf.DUMMYFUNCTION("IMPORTRANGE(""https://docs.google.com/spreadsheets/d/1XWAQStnk-4SwqDmLtmXYiTMKHgktTP8We1SCoS47DrQ/edit?usp=sharing"",""จัดที่ดิน!BM70"")"),2)</f>
        <v>2</v>
      </c>
      <c r="K723" s="497">
        <f ca="1">IF(I723&gt;0,J723*100/I723,0)</f>
        <v>13.333333333333334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IFERROR(__xludf.DUMMYFUNCTION("IMPORTRANGE(""https://docs.google.com/spreadsheets/d/1XWAQStnk-4SwqDmLtmXYiTMKHgktTP8We1SCoS47DrQ/edit?usp=sharing"",""จัดที่ดิน!BN70"")"),3)</f>
        <v>3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69">
        <f ca="1">IFERROR(__xludf.DUMMYFUNCTION("IMPORTRANGE(""https://docs.google.com/spreadsheets/d/1XWAQStnk-4SwqDmLtmXYiTMKHgktTP8We1SCoS47DrQ/edit?usp=sharing"",""จัดที่ดิน!BO70"")"),22)</f>
        <v>22</v>
      </c>
      <c r="K725" s="497">
        <f ca="1">IF(I725&gt;0,J725*100/I725,0)</f>
        <v>14.666666666666666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69">
        <f ca="1">IFERROR(__xludf.DUMMYFUNCTION("IMPORTRANGE(""https://docs.google.com/spreadsheets/d/1XWAQStnk-4SwqDmLtmXYiTMKHgktTP8We1SCoS47DrQ/edit?usp=sharing"",""จัดที่ดิน!BR70"")"),3)</f>
        <v>3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IFERROR(__xludf.DUMMYFUNCTION("IMPORTRANGE(""https://docs.google.com/spreadsheets/d/1XWAQStnk-4SwqDmLtmXYiTMKHgktTP8We1SCoS47DrQ/edit?usp=sharing"",""จัดที่ดิน!BS70"")"),3)</f>
        <v>3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69">
        <f ca="1">IFERROR(__xludf.DUMMYFUNCTION("IMPORTRANGE(""https://docs.google.com/spreadsheets/d/1XWAQStnk-4SwqDmLtmXYiTMKHgktTP8We1SCoS47DrQ/edit?usp=sharing"",""จัดที่ดิน!BT70"")"),16.065)</f>
        <v>16.065000000000001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IFERROR(__xludf.DUMMYFUNCTION("IMPORTRANGE(""https://docs.google.com/spreadsheets/d/1QqKyyYR6Q21VydFLVH3TRQUabQu_ym0Zz7PgGX0-kHA/edit?usp=sharing"",""แผน!JJ70"")"),0)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IFERROR(__xludf.DUMMYFUNCTION("IMPORTRANGE(""https://docs.google.com/spreadsheets/d/1QqKyyYR6Q21VydFLVH3TRQUabQu_ym0Zz7PgGX0-kHA/edit?usp=sharing"",""แผน!JN70"")"),0)</f>
        <v>0</v>
      </c>
      <c r="J800" s="183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69">
        <f ca="1">IFERROR(__xludf.DUMMYFUNCTION("IMPORTRANGE(""https://docs.google.com/spreadsheets/d/19vJNZY_5yjcGF2XGBMNZRCAIB0Kwfpjp8YEOfu-bneM/edit?usp=sharing"",""งานกองทุน!F70"")"),3553554.91)</f>
        <v>3553554.91</v>
      </c>
      <c r="K821" s="497">
        <f t="shared" ref="K821:K828" ca="1" si="113">IF(I821&gt;0,J821*100/I821,0)</f>
        <v>148.26316959745694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IFERROR(__xludf.DUMMYFUNCTION("IMPORTRANGE(""https://docs.google.com/spreadsheets/d/19vJNZY_5yjcGF2XGBMNZRCAIB0Kwfpjp8YEOfu-bneM/edit?usp=sharing"",""งานกองทุน!C70"")"),174)</f>
        <v>174</v>
      </c>
      <c r="J822" s="269">
        <f ca="1">IFERROR(__xludf.DUMMYFUNCTION("IMPORTRANGE(""https://docs.google.com/spreadsheets/d/19vJNZY_5yjcGF2XGBMNZRCAIB0Kwfpjp8YEOfu-bneM/edit?usp=sharing"",""งานกองทุน!E70"")"),149)</f>
        <v>149</v>
      </c>
      <c r="K822" s="497">
        <f t="shared" ca="1" si="113"/>
        <v>85.632183908045974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69">
        <f ca="1">IFERROR(__xludf.DUMMYFUNCTION("IMPORTRANGE(""https://docs.google.com/spreadsheets/d/19vJNZY_5yjcGF2XGBMNZRCAIB0Kwfpjp8YEOfu-bneM/edit?usp=sharing"",""งานกองทุน!K70"")"),860939.5)</f>
        <v>860939.5</v>
      </c>
      <c r="K823" s="497">
        <f t="shared" ca="1" si="113"/>
        <v>5.0745629639299459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IFERROR(__xludf.DUMMYFUNCTION("IMPORTRANGE(""https://docs.google.com/spreadsheets/d/19vJNZY_5yjcGF2XGBMNZRCAIB0Kwfpjp8YEOfu-bneM/edit?usp=sharing"",""งานกองทุน!H70"")"),254)</f>
        <v>254</v>
      </c>
      <c r="J824" s="269">
        <f ca="1">IFERROR(__xludf.DUMMYFUNCTION("IMPORTRANGE(""https://docs.google.com/spreadsheets/d/19vJNZY_5yjcGF2XGBMNZRCAIB0Kwfpjp8YEOfu-bneM/edit?usp=sharing"",""งานกองทุน!J70"")"),71)</f>
        <v>71</v>
      </c>
      <c r="K824" s="497">
        <f t="shared" ca="1" si="113"/>
        <v>27.952755905511811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69">
        <f ca="1">IFERROR(__xludf.DUMMYFUNCTION("IMPORTRANGE(""https://docs.google.com/spreadsheets/d/19vJNZY_5yjcGF2XGBMNZRCAIB0Kwfpjp8YEOfu-bneM/edit?usp=sharing"",""งานกองทุน!P70"")"),279259.25)</f>
        <v>279259.25</v>
      </c>
      <c r="K825" s="497">
        <f t="shared" ca="1" si="113"/>
        <v>11.675967264774568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IFERROR(__xludf.DUMMYFUNCTION("IMPORTRANGE(""https://docs.google.com/spreadsheets/d/19vJNZY_5yjcGF2XGBMNZRCAIB0Kwfpjp8YEOfu-bneM/edit?usp=sharing"",""งานกองทุน!M70"")"),88)</f>
        <v>88</v>
      </c>
      <c r="J826" s="269">
        <f ca="1">IFERROR(__xludf.DUMMYFUNCTION("IMPORTRANGE(""https://docs.google.com/spreadsheets/d/19vJNZY_5yjcGF2XGBMNZRCAIB0Kwfpjp8YEOfu-bneM/edit?usp=sharing"",""งานกองทุน!O70"")"),131)</f>
        <v>131</v>
      </c>
      <c r="K826" s="497">
        <f t="shared" ca="1" si="113"/>
        <v>148.86363636363637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IFERROR(__xludf.DUMMYFUNCTION("IMPORTRANGE(""https://docs.google.com/spreadsheets/d/19vJNZY_5yjcGF2XGBMNZRCAIB0Kwfpjp8YEOfu-bneM/edit?usp=sharing"",""งานกองทุน!S70"")"),4030000)</f>
        <v>4030000</v>
      </c>
      <c r="J827" s="269">
        <f ca="1">IFERROR(__xludf.DUMMYFUNCTION("IMPORTRANGE(""https://docs.google.com/spreadsheets/d/19vJNZY_5yjcGF2XGBMNZRCAIB0Kwfpjp8YEOfu-bneM/edit?usp=sharing"",""งานกองทุน!U70"")"),2910000)</f>
        <v>2910000</v>
      </c>
      <c r="K827" s="497">
        <f t="shared" ca="1" si="113"/>
        <v>72.208436724565757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IFERROR(__xludf.DUMMYFUNCTION("IMPORTRANGE(""https://docs.google.com/spreadsheets/d/19vJNZY_5yjcGF2XGBMNZRCAIB0Kwfpjp8YEOfu-bneM/edit?usp=sharing"",""งานกองทุน!T70"")"),63)</f>
        <v>63</v>
      </c>
      <c r="K828" s="502">
        <f t="shared" ca="1" si="113"/>
        <v>39.130434782608695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EF00D-24E3-424F-89C3-FEAFE0D70E6F}">
  <sheetPr>
    <outlinePr summaryBelow="0" summaryRight="0"/>
    <pageSetUpPr fitToPage="1"/>
  </sheetPr>
  <dimension ref="A1:Z828"/>
  <sheetViews>
    <sheetView view="pageBreakPreview" topLeftCell="L1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332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9" t="s">
        <v>366</v>
      </c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9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7937077</v>
      </c>
      <c r="M8" s="21">
        <f ca="1">M9+M10</f>
        <v>7977287.7599999998</v>
      </c>
      <c r="N8" s="21">
        <f ca="1">N9+N10</f>
        <v>7977287.7599999998</v>
      </c>
      <c r="O8" s="21">
        <f t="shared" ref="O8:O16" ca="1" si="0">IF(L8&gt;0,N8*100/L8,0)</f>
        <v>100.50661925038651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7937077</v>
      </c>
      <c r="M10" s="29">
        <f t="shared" ca="1" si="2"/>
        <v>7977287.7599999998</v>
      </c>
      <c r="N10" s="29">
        <f t="shared" ca="1" si="2"/>
        <v>7977287.7599999998</v>
      </c>
      <c r="O10" s="29">
        <f t="shared" ca="1" si="0"/>
        <v>100.50661925038651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7355877</v>
      </c>
      <c r="M11" s="497">
        <f ca="1">M12+M13</f>
        <v>7435687.7599999998</v>
      </c>
      <c r="N11" s="497">
        <f ca="1">N12+N13</f>
        <v>7435687.7599999998</v>
      </c>
      <c r="O11" s="497">
        <f t="shared" ca="1" si="0"/>
        <v>101.08499312862355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7355877</v>
      </c>
      <c r="M13" s="92">
        <f t="shared" ca="1" si="3"/>
        <v>7435687.7599999998</v>
      </c>
      <c r="N13" s="92">
        <f t="shared" ca="1" si="3"/>
        <v>7435687.7599999998</v>
      </c>
      <c r="O13" s="92">
        <f t="shared" ca="1" si="0"/>
        <v>101.08499312862355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581200</v>
      </c>
      <c r="M14" s="497">
        <f ca="1">M15+M16</f>
        <v>541600</v>
      </c>
      <c r="N14" s="497">
        <f ca="1">N15+N16</f>
        <v>541600</v>
      </c>
      <c r="O14" s="497">
        <f t="shared" ca="1" si="0"/>
        <v>93.186510667584315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581200</v>
      </c>
      <c r="M16" s="51">
        <f t="shared" ca="1" si="4"/>
        <v>541600</v>
      </c>
      <c r="N16" s="51">
        <f t="shared" ca="1" si="4"/>
        <v>541600</v>
      </c>
      <c r="O16" s="51">
        <f t="shared" ca="1" si="0"/>
        <v>93.186510667584315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4378506</v>
      </c>
      <c r="M18" s="21">
        <f ca="1">M19+M20</f>
        <v>4849052.53</v>
      </c>
      <c r="N18" s="21">
        <f ca="1">N19+N20</f>
        <v>4849052.53</v>
      </c>
      <c r="O18" s="21">
        <f t="shared" ref="O18:O26" ca="1" si="5">IF(L18&gt;0,N18*100/L18,0)</f>
        <v>110.74673712905727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4378506</v>
      </c>
      <c r="M20" s="29">
        <f t="shared" ca="1" si="7"/>
        <v>4849052.53</v>
      </c>
      <c r="N20" s="29">
        <f t="shared" ca="1" si="7"/>
        <v>4849052.53</v>
      </c>
      <c r="O20" s="29">
        <f t="shared" ca="1" si="5"/>
        <v>110.74673712905727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3797306</v>
      </c>
      <c r="M21" s="497">
        <f ca="1">M22+M23</f>
        <v>4307452.53</v>
      </c>
      <c r="N21" s="497">
        <f ca="1">N22+N23</f>
        <v>4307452.53</v>
      </c>
      <c r="O21" s="497">
        <f t="shared" ca="1" si="5"/>
        <v>113.4344329901251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3797306</v>
      </c>
      <c r="M23" s="92">
        <f t="shared" ca="1" si="8"/>
        <v>4307452.53</v>
      </c>
      <c r="N23" s="92">
        <f t="shared" ca="1" si="8"/>
        <v>4307452.53</v>
      </c>
      <c r="O23" s="92">
        <f t="shared" ca="1" si="5"/>
        <v>113.4344329901251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581200</v>
      </c>
      <c r="M24" s="497">
        <f ca="1">M25+M26</f>
        <v>541600</v>
      </c>
      <c r="N24" s="497">
        <f ca="1">N25+N26</f>
        <v>541600</v>
      </c>
      <c r="O24" s="497">
        <f t="shared" ca="1" si="5"/>
        <v>93.186510667584315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581200</v>
      </c>
      <c r="M26" s="51">
        <f t="shared" ca="1" si="9"/>
        <v>541600</v>
      </c>
      <c r="N26" s="51">
        <f t="shared" ca="1" si="9"/>
        <v>541600</v>
      </c>
      <c r="O26" s="51">
        <f t="shared" ca="1" si="5"/>
        <v>93.186510667584315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3558571</v>
      </c>
      <c r="M28" s="21">
        <f ca="1">M29+M30</f>
        <v>3128235.23</v>
      </c>
      <c r="N28" s="21">
        <f>N29+N30</f>
        <v>3128235.23</v>
      </c>
      <c r="O28" s="21">
        <f t="shared" ref="O28:O37" ca="1" si="10">IF(L28&gt;0,N28*100/L28,0)</f>
        <v>87.907062413536224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3558571</v>
      </c>
      <c r="M30" s="29">
        <f t="shared" ca="1" si="12"/>
        <v>3128235.23</v>
      </c>
      <c r="N30" s="29">
        <f t="shared" si="12"/>
        <v>3128235.23</v>
      </c>
      <c r="O30" s="29">
        <f t="shared" ca="1" si="10"/>
        <v>87.907062413536224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3558571</v>
      </c>
      <c r="M31" s="497">
        <f ca="1">M32+M33</f>
        <v>3128235.23</v>
      </c>
      <c r="N31" s="497">
        <f>N32+N33</f>
        <v>3128235.23</v>
      </c>
      <c r="O31" s="497">
        <f t="shared" ca="1" si="10"/>
        <v>87.907062413536224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3558571</v>
      </c>
      <c r="M33" s="92">
        <f t="shared" ca="1" si="13"/>
        <v>3128235.23</v>
      </c>
      <c r="N33" s="92">
        <f t="shared" si="13"/>
        <v>3128235.23</v>
      </c>
      <c r="O33" s="92">
        <f t="shared" ca="1" si="10"/>
        <v>87.907062413536224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4378506</v>
      </c>
      <c r="M37" s="58">
        <f ca="1">M41+M53+M66+M88+M119+M132+M149+M165+M181+M261+M277+M298+M315+M328+M345+M389+M402</f>
        <v>4849052.53</v>
      </c>
      <c r="N37" s="58">
        <f ca="1">N41+N53+N66+N88+N119+N132+N149+N165+N181+N261+N277+N298+N315+N328+N345+N389+N402</f>
        <v>4849052.53</v>
      </c>
      <c r="O37" s="58">
        <f t="shared" ca="1" si="10"/>
        <v>110.74673712905727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524846</v>
      </c>
      <c r="M41" s="84">
        <f ca="1">M42+M43</f>
        <v>682242.78</v>
      </c>
      <c r="N41" s="84">
        <f ca="1">N42+N43</f>
        <v>682242.78</v>
      </c>
      <c r="O41" s="84">
        <f t="shared" ref="O41:O49" ca="1" si="15">IF(L41&gt;0,N41*100/L41,0)</f>
        <v>129.98913586080488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524846</v>
      </c>
      <c r="M43" s="91">
        <f t="shared" ca="1" si="17"/>
        <v>682242.78</v>
      </c>
      <c r="N43" s="91">
        <f t="shared" ca="1" si="17"/>
        <v>682242.78</v>
      </c>
      <c r="O43" s="91">
        <f t="shared" ca="1" si="15"/>
        <v>129.98913586080488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524846</v>
      </c>
      <c r="M44" s="497">
        <f ca="1">M45+M46</f>
        <v>682242.78</v>
      </c>
      <c r="N44" s="497">
        <f ca="1">N45+N46</f>
        <v>682242.78</v>
      </c>
      <c r="O44" s="497">
        <f t="shared" ca="1" si="15"/>
        <v>129.98913586080488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IFERROR(__xludf.DUMMYFUNCTION("IMPORTRANGE(""https://docs.google.com/spreadsheets/d/1MeEWN-I1oV_STSDYn1IFDPWt_1FKiwhDph83XaGc0o0/edit?usp=sharing"",""งบพรบ!M53"")"),524846)</f>
        <v>524846</v>
      </c>
      <c r="M46" s="92">
        <f ca="1">IFERROR(__xludf.DUMMYFUNCTION("IMPORTRANGE(""https://docs.google.com/spreadsheets/d/1MeEWN-I1oV_STSDYn1IFDPWt_1FKiwhDph83XaGc0o0/edit?usp=sharing"",""งบพรบ!R53"")"),682242.78)</f>
        <v>682242.78</v>
      </c>
      <c r="N46" s="92">
        <f ca="1">IFERROR(__xludf.DUMMYFUNCTION("IMPORTRANGE(""https://docs.google.com/spreadsheets/d/1MeEWN-I1oV_STSDYn1IFDPWt_1FKiwhDph83XaGc0o0/edit?usp=sharing"",""งบพรบ!T53"")"),682242.78)</f>
        <v>682242.78</v>
      </c>
      <c r="O46" s="92">
        <f t="shared" ca="1" si="15"/>
        <v>129.98913586080488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IFERROR(__xludf.DUMMYFUNCTION("IMPORTRANGE(""https://docs.google.com/spreadsheets/d/1MeEWN-I1oV_STSDYn1IFDPWt_1FKiwhDph83XaGc0o0/edit?usp=sharing"",""งบพรบ!P53"")"),0)</f>
        <v>0</v>
      </c>
      <c r="M49" s="51">
        <f ca="1">IFERROR(__xludf.DUMMYFUNCTION("IMPORTRANGE(""https://docs.google.com/spreadsheets/d/1MeEWN-I1oV_STSDYn1IFDPWt_1FKiwhDph83XaGc0o0/edit?usp=sharing"",""งบพรบ!S53"")"),0)</f>
        <v>0</v>
      </c>
      <c r="N49" s="51">
        <f ca="1">IFERROR(__xludf.DUMMYFUNCTION("IMPORTRANGE(""https://docs.google.com/spreadsheets/d/1MeEWN-I1oV_STSDYn1IFDPWt_1FKiwhDph83XaGc0o0/edit?usp=sharing"",""งบพรบ!U53"")"),0)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1449800</v>
      </c>
      <c r="M53" s="115">
        <f ca="1">M54+M55</f>
        <v>1443849.75</v>
      </c>
      <c r="N53" s="115">
        <f ca="1">N54+N55</f>
        <v>1443849.75</v>
      </c>
      <c r="O53" s="115">
        <f t="shared" ref="O53:O61" ca="1" si="18">IF(L53&gt;0,N53*100/L53,0)</f>
        <v>99.589581321561596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1449800</v>
      </c>
      <c r="M55" s="122">
        <f t="shared" ca="1" si="20"/>
        <v>1443849.75</v>
      </c>
      <c r="N55" s="122">
        <f t="shared" ca="1" si="20"/>
        <v>1443849.75</v>
      </c>
      <c r="O55" s="122">
        <f t="shared" ca="1" si="18"/>
        <v>99.589581321561596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989200</v>
      </c>
      <c r="M56" s="497">
        <f ca="1">M57+M58</f>
        <v>1022849.75</v>
      </c>
      <c r="N56" s="497">
        <f ca="1">N57+N58</f>
        <v>1022849.75</v>
      </c>
      <c r="O56" s="497">
        <f t="shared" ca="1" si="18"/>
        <v>103.40171350586333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IFERROR(__xludf.DUMMYFUNCTION("IMPORTRANGE(""https://docs.google.com/spreadsheets/d/1MeEWN-I1oV_STSDYn1IFDPWt_1FKiwhDph83XaGc0o0/edit?usp=sharing"",""งบพรบ!W53"")"),989200)</f>
        <v>989200</v>
      </c>
      <c r="M58" s="92">
        <f ca="1">IFERROR(__xludf.DUMMYFUNCTION("IMPORTRANGE(""https://docs.google.com/spreadsheets/d/1MeEWN-I1oV_STSDYn1IFDPWt_1FKiwhDph83XaGc0o0/edit?usp=sharing"",""งบพรบ!AB53"")"),1022849.75)</f>
        <v>1022849.75</v>
      </c>
      <c r="N58" s="92">
        <f ca="1">IFERROR(__xludf.DUMMYFUNCTION("IMPORTRANGE(""https://docs.google.com/spreadsheets/d/1MeEWN-I1oV_STSDYn1IFDPWt_1FKiwhDph83XaGc0o0/edit?usp=sharing"",""งบพรบ!AD53"")"),1022849.75)</f>
        <v>1022849.75</v>
      </c>
      <c r="O58" s="92">
        <f t="shared" ca="1" si="18"/>
        <v>103.40171350586333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460600</v>
      </c>
      <c r="M59" s="497">
        <f ca="1">M60+M61</f>
        <v>421000</v>
      </c>
      <c r="N59" s="497">
        <f ca="1">N60+N61</f>
        <v>421000</v>
      </c>
      <c r="O59" s="497">
        <f t="shared" ca="1" si="18"/>
        <v>91.402518454190187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IFERROR(__xludf.DUMMYFUNCTION("IMPORTRANGE(""https://docs.google.com/spreadsheets/d/1MeEWN-I1oV_STSDYn1IFDPWt_1FKiwhDph83XaGc0o0/edit?usp=sharing"",""งบพรบ!Z53"")"),460600)</f>
        <v>460600</v>
      </c>
      <c r="M61" s="51">
        <f ca="1">IFERROR(__xludf.DUMMYFUNCTION("IMPORTRANGE(""https://docs.google.com/spreadsheets/d/1MeEWN-I1oV_STSDYn1IFDPWt_1FKiwhDph83XaGc0o0/edit?usp=sharing"",""งบพรบ!AC53"")"),421000)</f>
        <v>421000</v>
      </c>
      <c r="N61" s="51">
        <f ca="1">IFERROR(__xludf.DUMMYFUNCTION("IMPORTRANGE(""https://docs.google.com/spreadsheets/d/1MeEWN-I1oV_STSDYn1IFDPWt_1FKiwhDph83XaGc0o0/edit?usp=sharing"",""งบพรบ!AE53"")"),421000)</f>
        <v>421000</v>
      </c>
      <c r="O61" s="51">
        <f t="shared" ca="1" si="18"/>
        <v>91.402518454190187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IFERROR(__xludf.DUMMYFUNCTION("IMPORTRANGE(""https://docs.google.com/spreadsheets/d/1MeEWN-I1oV_STSDYn1IFDPWt_1FKiwhDph83XaGc0o0/edit?usp=sharing"",""งบพรบ!AG53"")"),0)</f>
        <v>0</v>
      </c>
      <c r="M71" s="92">
        <f ca="1">IFERROR(__xludf.DUMMYFUNCTION("IMPORTRANGE(""https://docs.google.com/spreadsheets/d/1MeEWN-I1oV_STSDYn1IFDPWt_1FKiwhDph83XaGc0o0/edit?usp=sharing"",""งบพรบ!AL53"")"),0)</f>
        <v>0</v>
      </c>
      <c r="N71" s="92">
        <f ca="1">IFERROR(__xludf.DUMMYFUNCTION("IMPORTRANGE(""https://docs.google.com/spreadsheets/d/1MeEWN-I1oV_STSDYn1IFDPWt_1FKiwhDph83XaGc0o0/edit?usp=sharing"",""งบพรบ!AN53"")"),0)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IFERROR(__xludf.DUMMYFUNCTION("IMPORTRANGE(""https://docs.google.com/spreadsheets/d/1MeEWN-I1oV_STSDYn1IFDPWt_1FKiwhDph83XaGc0o0/edit?usp=sharing"",""งบพรบ!AJ53"")"),0)</f>
        <v>0</v>
      </c>
      <c r="M74" s="92">
        <f ca="1">IFERROR(__xludf.DUMMYFUNCTION("IMPORTRANGE(""https://docs.google.com/spreadsheets/d/1MeEWN-I1oV_STSDYn1IFDPWt_1FKiwhDph83XaGc0o0/edit?usp=sharing"",""งบพรบ!AM53"")"),0)</f>
        <v>0</v>
      </c>
      <c r="N74" s="92">
        <f ca="1">IFERROR(__xludf.DUMMYFUNCTION("IMPORTRANGE(""https://docs.google.com/spreadsheets/d/1MeEWN-I1oV_STSDYn1IFDPWt_1FKiwhDph83XaGc0o0/edit?usp=sharing"",""งบพรบ!AO53"")"),0)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IFERROR(__xludf.DUMMYFUNCTION("IMPORTRANGE(""https://docs.google.com/spreadsheets/d/1QqKyyYR6Q21VydFLVH3TRQUabQu_ym0Zz7PgGX0-kHA/edit?usp=sharing"",""แผน!D53"")"),0)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IFERROR(__xludf.DUMMYFUNCTION("IMPORTRANGE(""https://docs.google.com/spreadsheets/d/1QqKyyYR6Q21VydFLVH3TRQUabQu_ym0Zz7PgGX0-kHA/edit?usp=sharing"",""แผน!E53"")"),0)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IFERROR(__xludf.DUMMYFUNCTION("IMPORTRANGE(""https://docs.google.com/spreadsheets/d/1QqKyyYR6Q21VydFLVH3TRQUabQu_ym0Zz7PgGX0-kHA/edit?usp=sharing"",""แผน!J53"")"),0)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86340</v>
      </c>
      <c r="M88" s="154">
        <f ca="1">M89+M90</f>
        <v>86340</v>
      </c>
      <c r="N88" s="154">
        <f ca="1">N89+N90</f>
        <v>86340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86340</v>
      </c>
      <c r="M90" s="92">
        <f t="shared" ca="1" si="27"/>
        <v>86340</v>
      </c>
      <c r="N90" s="92">
        <f t="shared" ca="1" si="27"/>
        <v>86340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86340</v>
      </c>
      <c r="M91" s="497">
        <f ca="1">M92+M93</f>
        <v>86340</v>
      </c>
      <c r="N91" s="497">
        <f ca="1">N92+N93</f>
        <v>86340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IFERROR(__xludf.DUMMYFUNCTION("IMPORTRANGE(""https://docs.google.com/spreadsheets/d/1MeEWN-I1oV_STSDYn1IFDPWt_1FKiwhDph83XaGc0o0/edit?usp=sharing"",""งบพรบ!AQ53"")"),86340)</f>
        <v>86340</v>
      </c>
      <c r="M93" s="92">
        <f ca="1">IFERROR(__xludf.DUMMYFUNCTION("IMPORTRANGE(""https://docs.google.com/spreadsheets/d/1MeEWN-I1oV_STSDYn1IFDPWt_1FKiwhDph83XaGc0o0/edit?usp=sharing"",""งบพรบ!AV53"")"),86340)</f>
        <v>86340</v>
      </c>
      <c r="N93" s="92">
        <f ca="1">IFERROR(__xludf.DUMMYFUNCTION("IMPORTRANGE(""https://docs.google.com/spreadsheets/d/1MeEWN-I1oV_STSDYn1IFDPWt_1FKiwhDph83XaGc0o0/edit?usp=sharing"",""งบพรบ!AX53"")"),86340)</f>
        <v>86340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IFERROR(__xludf.DUMMYFUNCTION("IMPORTRANGE(""https://docs.google.com/spreadsheets/d/1MeEWN-I1oV_STSDYn1IFDPWt_1FKiwhDph83XaGc0o0/edit?usp=sharing"",""งบพรบ!AT53"")"),0)</f>
        <v>0</v>
      </c>
      <c r="M96" s="92">
        <f ca="1">IFERROR(__xludf.DUMMYFUNCTION("IMPORTRANGE(""https://docs.google.com/spreadsheets/d/1MeEWN-I1oV_STSDYn1IFDPWt_1FKiwhDph83XaGc0o0/edit?usp=sharing"",""งบพรบ!AW53"")"),0)</f>
        <v>0</v>
      </c>
      <c r="N96" s="92">
        <f ca="1">IFERROR(__xludf.DUMMYFUNCTION("IMPORTRANGE(""https://docs.google.com/spreadsheets/d/1MeEWN-I1oV_STSDYn1IFDPWt_1FKiwhDph83XaGc0o0/edit?usp=sharing"",""งบพรบ!AY53"")"),0)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IFERROR(__xludf.DUMMYFUNCTION("IMPORTRANGE(""https://docs.google.com/spreadsheets/d/1QqKyyYR6Q21VydFLVH3TRQUabQu_ym0Zz7PgGX0-kHA/edit?usp=sharing"",""แผน!K53"")"),30)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IFERROR(__xludf.DUMMYFUNCTION("IMPORTRANGE(""https://docs.google.com/spreadsheets/d/1QqKyyYR6Q21VydFLVH3TRQUabQu_ym0Zz7PgGX0-kHA/edit?usp=sharing"",""แผน!L53"")"),10)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IFERROR(__xludf.DUMMYFUNCTION("IMPORTRANGE(""https://docs.google.com/spreadsheets/d/1QqKyyYR6Q21VydFLVH3TRQUabQu_ym0Zz7PgGX0-kHA/edit?usp=sharing"",""แผน!M53"")"),2)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IFERROR(__xludf.DUMMYFUNCTION("IMPORTRANGE(""https://docs.google.com/spreadsheets/d/1QqKyyYR6Q21VydFLVH3TRQUabQu_ym0Zz7PgGX0-kHA/edit?usp=sharing"",""แผน!N53"")"),30)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IFERROR(__xludf.DUMMYFUNCTION("IMPORTRANGE(""https://docs.google.com/spreadsheets/d/1QqKyyYR6Q21VydFLVH3TRQUabQu_ym0Zz7PgGX0-kHA/edit?usp=sharing"",""แผน!O53"")"),10)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IFERROR(__xludf.DUMMYFUNCTION("IMPORTRANGE(""https://docs.google.com/spreadsheets/d/1QqKyyYR6Q21VydFLVH3TRQUabQu_ym0Zz7PgGX0-kHA/edit?usp=sharing"",""แผน!O53"")"),10)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IFERROR(__xludf.DUMMYFUNCTION("IMPORTRANGE(""https://docs.google.com/spreadsheets/d/1QqKyyYR6Q21VydFLVH3TRQUabQu_ym0Zz7PgGX0-kHA/edit?usp=sharing"",""แผน!P53"")"),1)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IFERROR(__xludf.DUMMYFUNCTION("IMPORTRANGE(""https://docs.google.com/spreadsheets/d/1QqKyyYR6Q21VydFLVH3TRQUabQu_ym0Zz7PgGX0-kHA/edit?usp=sharing"",""แผน!P53"")"),1)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IFERROR(__xludf.DUMMYFUNCTION("IMPORTRANGE(""https://docs.google.com/spreadsheets/d/1QqKyyYR6Q21VydFLVH3TRQUabQu_ym0Zz7PgGX0-kHA/edit?usp=sharing"",""แผน!Q53"")"),1)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IFERROR(__xludf.DUMMYFUNCTION("IMPORTRANGE(""https://docs.google.com/spreadsheets/d/1QqKyyYR6Q21VydFLVH3TRQUabQu_ym0Zz7PgGX0-kHA/edit?usp=sharing"",""แผน!Q53"")"),1)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IFERROR(__xludf.DUMMYFUNCTION("IMPORTRANGE(""https://docs.google.com/spreadsheets/d/1QqKyyYR6Q21VydFLVH3TRQUabQu_ym0Zz7PgGX0-kHA/edit?usp=sharing"",""แผน!R53"")"),10)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IFERROR(__xludf.DUMMYFUNCTION("IMPORTRANGE(""https://docs.google.com/spreadsheets/d/1QqKyyYR6Q21VydFLVH3TRQUabQu_ym0Zz7PgGX0-kHA/edit?usp=sharing"",""แผน!R53"")"),10)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IFERROR(__xludf.DUMMYFUNCTION("IMPORTRANGE(""https://docs.google.com/spreadsheets/d/1QqKyyYR6Q21VydFLVH3TRQUabQu_ym0Zz7PgGX0-kHA/edit?usp=sharing"",""แผน!S53"")"),1)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IFERROR(__xludf.DUMMYFUNCTION("IMPORTRANGE(""https://docs.google.com/spreadsheets/d/1QqKyyYR6Q21VydFLVH3TRQUabQu_ym0Zz7PgGX0-kHA/edit?usp=sharing"",""แผน!T53"")"),1)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IFERROR(__xludf.DUMMYFUNCTION("IMPORTRANGE(""https://docs.google.com/spreadsheets/d/1MeEWN-I1oV_STSDYn1IFDPWt_1FKiwhDph83XaGc0o0/edit?usp=sharing"",""งบพรบ!BA53"")"),0)</f>
        <v>0</v>
      </c>
      <c r="M124" s="92">
        <f ca="1">IFERROR(__xludf.DUMMYFUNCTION("IMPORTRANGE(""https://docs.google.com/spreadsheets/d/1MeEWN-I1oV_STSDYn1IFDPWt_1FKiwhDph83XaGc0o0/edit?usp=sharing"",""งบพรบ!BF53"")"),0)</f>
        <v>0</v>
      </c>
      <c r="N124" s="92">
        <f ca="1">IFERROR(__xludf.DUMMYFUNCTION("IMPORTRANGE(""https://docs.google.com/spreadsheets/d/1MeEWN-I1oV_STSDYn1IFDPWt_1FKiwhDph83XaGc0o0/edit?usp=sharing"",""งบพรบ!BH53"")"),0)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IFERROR(__xludf.DUMMYFUNCTION("IMPORTRANGE(""https://docs.google.com/spreadsheets/d/1MeEWN-I1oV_STSDYn1IFDPWt_1FKiwhDph83XaGc0o0/edit?usp=sharing"",""งบพรบ!BD53"")"),0)</f>
        <v>0</v>
      </c>
      <c r="M127" s="92">
        <f ca="1">IFERROR(__xludf.DUMMYFUNCTION("IMPORTRANGE(""https://docs.google.com/spreadsheets/d/1MeEWN-I1oV_STSDYn1IFDPWt_1FKiwhDph83XaGc0o0/edit?usp=sharing"",""งบพรบ!BG53"")"),0)</f>
        <v>0</v>
      </c>
      <c r="N127" s="92">
        <f ca="1">IFERROR(__xludf.DUMMYFUNCTION("IMPORTRANGE(""https://docs.google.com/spreadsheets/d/1MeEWN-I1oV_STSDYn1IFDPWt_1FKiwhDph83XaGc0o0/edit?usp=sharing"",""งบพรบ!BI53"")"),0)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IFERROR(__xludf.DUMMYFUNCTION("IMPORTRANGE(""https://docs.google.com/spreadsheets/d/1MeEWN-I1oV_STSDYn1IFDPWt_1FKiwhDph83XaGc0o0/edit?usp=sharing"",""งบพรบ!BK53"")"),0)</f>
        <v>0</v>
      </c>
      <c r="M137" s="92">
        <f ca="1">IFERROR(__xludf.DUMMYFUNCTION("IMPORTRANGE(""https://docs.google.com/spreadsheets/d/1MeEWN-I1oV_STSDYn1IFDPWt_1FKiwhDph83XaGc0o0/edit?usp=sharing"",""งบพรบ!BP53"")"),0)</f>
        <v>0</v>
      </c>
      <c r="N137" s="92">
        <f ca="1">IFERROR(__xludf.DUMMYFUNCTION("IMPORTRANGE(""https://docs.google.com/spreadsheets/d/1MeEWN-I1oV_STSDYn1IFDPWt_1FKiwhDph83XaGc0o0/edit?usp=sharing"",""งบพรบ!BR53"")"),0)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IFERROR(__xludf.DUMMYFUNCTION("IMPORTRANGE(""https://docs.google.com/spreadsheets/d/1MeEWN-I1oV_STSDYn1IFDPWt_1FKiwhDph83XaGc0o0/edit?usp=sharing"",""งบพรบ!BN53"")"),0)</f>
        <v>0</v>
      </c>
      <c r="M140" s="92">
        <f ca="1">IFERROR(__xludf.DUMMYFUNCTION("IMPORTRANGE(""https://docs.google.com/spreadsheets/d/1MeEWN-I1oV_STSDYn1IFDPWt_1FKiwhDph83XaGc0o0/edit?usp=sharing"",""งบพรบ!BQ53"")"),0)</f>
        <v>0</v>
      </c>
      <c r="N140" s="92">
        <f ca="1">IFERROR(__xludf.DUMMYFUNCTION("IMPORTRANGE(""https://docs.google.com/spreadsheets/d/1MeEWN-I1oV_STSDYn1IFDPWt_1FKiwhDph83XaGc0o0/edit?usp=sharing"",""งบพรบ!BS53"")"),0)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IFERROR(__xludf.DUMMYFUNCTION("IMPORTRANGE(""https://docs.google.com/spreadsheets/d/1QqKyyYR6Q21VydFLVH3TRQUabQu_ym0Zz7PgGX0-kHA/edit?usp=sharing"",""แผน!U53"")"),0)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IFERROR(__xludf.DUMMYFUNCTION("IMPORTRANGE(""https://docs.google.com/spreadsheets/d/1QqKyyYR6Q21VydFLVH3TRQUabQu_ym0Zz7PgGX0-kHA/edit?usp=sharing"",""แผน!V53"")"),0)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IFERROR(__xludf.DUMMYFUNCTION("IMPORTRANGE(""https://docs.google.com/spreadsheets/d/1QqKyyYR6Q21VydFLVH3TRQUabQu_ym0Zz7PgGX0-kHA/edit?usp=sharing"",""แผน!W53"")"),0)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20</v>
      </c>
      <c r="J148" s="143">
        <f>J159</f>
        <v>20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10000</v>
      </c>
      <c r="M149" s="154">
        <f ca="1">M150+M151</f>
        <v>25180</v>
      </c>
      <c r="N149" s="154">
        <f ca="1">N150+N151</f>
        <v>25180</v>
      </c>
      <c r="O149" s="154">
        <f t="shared" ref="O149:O157" ca="1" si="35">IF(L149&gt;0,N149*100/L149,0)</f>
        <v>251.8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10000</v>
      </c>
      <c r="M151" s="92">
        <f t="shared" ca="1" si="37"/>
        <v>25180</v>
      </c>
      <c r="N151" s="92">
        <f t="shared" ca="1" si="37"/>
        <v>25180</v>
      </c>
      <c r="O151" s="92">
        <f t="shared" ca="1" si="35"/>
        <v>251.8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10000</v>
      </c>
      <c r="M152" s="497">
        <f ca="1">M153+M154</f>
        <v>25180</v>
      </c>
      <c r="N152" s="497">
        <f ca="1">N153+N154</f>
        <v>25180</v>
      </c>
      <c r="O152" s="497">
        <f t="shared" ca="1" si="35"/>
        <v>251.8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IFERROR(__xludf.DUMMYFUNCTION("IMPORTRANGE(""https://docs.google.com/spreadsheets/d/1MeEWN-I1oV_STSDYn1IFDPWt_1FKiwhDph83XaGc0o0/edit?usp=sharing"",""งบพรบ!BU53"")"),10000)</f>
        <v>10000</v>
      </c>
      <c r="M154" s="92">
        <f ca="1">IFERROR(__xludf.DUMMYFUNCTION("IMPORTRANGE(""https://docs.google.com/spreadsheets/d/1MeEWN-I1oV_STSDYn1IFDPWt_1FKiwhDph83XaGc0o0/edit?usp=sharing"",""งบพรบ!BZ53"")"),25180)</f>
        <v>25180</v>
      </c>
      <c r="N154" s="92">
        <f ca="1">IFERROR(__xludf.DUMMYFUNCTION("IMPORTRANGE(""https://docs.google.com/spreadsheets/d/1MeEWN-I1oV_STSDYn1IFDPWt_1FKiwhDph83XaGc0o0/edit?usp=sharing"",""งบพรบ!CB53"")"),25180)</f>
        <v>25180</v>
      </c>
      <c r="O154" s="92">
        <f t="shared" ca="1" si="35"/>
        <v>251.8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IFERROR(__xludf.DUMMYFUNCTION("IMPORTRANGE(""https://docs.google.com/spreadsheets/d/1MeEWN-I1oV_STSDYn1IFDPWt_1FKiwhDph83XaGc0o0/edit?usp=sharing"",""งบพรบ!BX53"")"),0)</f>
        <v>0</v>
      </c>
      <c r="M157" s="92">
        <f ca="1">IFERROR(__xludf.DUMMYFUNCTION("IMPORTRANGE(""https://docs.google.com/spreadsheets/d/1MeEWN-I1oV_STSDYn1IFDPWt_1FKiwhDph83XaGc0o0/edit?usp=sharing"",""งบพรบ!CA53"")"),0)</f>
        <v>0</v>
      </c>
      <c r="N157" s="92">
        <f ca="1">IFERROR(__xludf.DUMMYFUNCTION("IMPORTRANGE(""https://docs.google.com/spreadsheets/d/1MeEWN-I1oV_STSDYn1IFDPWt_1FKiwhDph83XaGc0o0/edit?usp=sharing"",""งบพรบ!CC53"")"),0)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IFERROR(__xludf.DUMMYFUNCTION("IMPORTRANGE(""https://docs.google.com/spreadsheets/d/1QqKyyYR6Q21VydFLVH3TRQUabQu_ym0Zz7PgGX0-kHA/edit?usp=sharing"",""แผน!X53"")"),20)</f>
        <v>20</v>
      </c>
      <c r="J159" s="214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49600</v>
      </c>
      <c r="N165" s="154">
        <f ca="1">N166+N167</f>
        <v>49600</v>
      </c>
      <c r="O165" s="154">
        <f t="shared" ref="O165:O173" ca="1" si="38">IF(L165&gt;0,N165*100/L165,0)</f>
        <v>215.09106678230702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49600</v>
      </c>
      <c r="N167" s="92">
        <f t="shared" ca="1" si="40"/>
        <v>49600</v>
      </c>
      <c r="O167" s="92">
        <f t="shared" ca="1" si="38"/>
        <v>215.09106678230702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49600</v>
      </c>
      <c r="N168" s="497">
        <f ca="1">N169+N170</f>
        <v>49600</v>
      </c>
      <c r="O168" s="497">
        <f t="shared" ca="1" si="38"/>
        <v>215.09106678230702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IFERROR(__xludf.DUMMYFUNCTION("IMPORTRANGE(""https://docs.google.com/spreadsheets/d/1MeEWN-I1oV_STSDYn1IFDPWt_1FKiwhDph83XaGc0o0/edit?usp=sharing"",""งบพรบ!CE53"")"),23060)</f>
        <v>23060</v>
      </c>
      <c r="M170" s="92">
        <f ca="1">IFERROR(__xludf.DUMMYFUNCTION("IMPORTRANGE(""https://docs.google.com/spreadsheets/d/1MeEWN-I1oV_STSDYn1IFDPWt_1FKiwhDph83XaGc0o0/edit?usp=sharing"",""งบพรบ!CJ53"")"),49600)</f>
        <v>49600</v>
      </c>
      <c r="N170" s="92">
        <f ca="1">IFERROR(__xludf.DUMMYFUNCTION("IMPORTRANGE(""https://docs.google.com/spreadsheets/d/1MeEWN-I1oV_STSDYn1IFDPWt_1FKiwhDph83XaGc0o0/edit?usp=sharing"",""งบพรบ!CL53"")"),49600)</f>
        <v>49600</v>
      </c>
      <c r="O170" s="92">
        <f t="shared" ca="1" si="38"/>
        <v>215.09106678230702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IFERROR(__xludf.DUMMYFUNCTION("IMPORTRANGE(""https://docs.google.com/spreadsheets/d/1MeEWN-I1oV_STSDYn1IFDPWt_1FKiwhDph83XaGc0o0/edit?usp=sharing"",""งบพรบ!CH53"")"),0)</f>
        <v>0</v>
      </c>
      <c r="M173" s="92">
        <f ca="1">IFERROR(__xludf.DUMMYFUNCTION("IMPORTRANGE(""https://docs.google.com/spreadsheets/d/1MeEWN-I1oV_STSDYn1IFDPWt_1FKiwhDph83XaGc0o0/edit?usp=sharing"",""งบพรบ!CK53"")"),0)</f>
        <v>0</v>
      </c>
      <c r="N173" s="92">
        <f ca="1">IFERROR(__xludf.DUMMYFUNCTION("IMPORTRANGE(""https://docs.google.com/spreadsheets/d/1MeEWN-I1oV_STSDYn1IFDPWt_1FKiwhDph83XaGc0o0/edit?usp=sharing"",""งบพรบ!CM53"")"),0)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IFERROR(__xludf.DUMMYFUNCTION("IMPORTRANGE(""https://docs.google.com/spreadsheets/d/1QqKyyYR6Q21VydFLVH3TRQUabQu_ym0Zz7PgGX0-kHA/edit?usp=sharing"",""แผน!Y53"")"),12)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30</v>
      </c>
      <c r="J180" s="252">
        <f>J225+J226</f>
        <v>30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352500</v>
      </c>
      <c r="M181" s="154">
        <f ca="1">M182+M183</f>
        <v>361840</v>
      </c>
      <c r="N181" s="154">
        <f ca="1">N182+N183</f>
        <v>361840</v>
      </c>
      <c r="O181" s="154">
        <f t="shared" ref="O181:O189" ca="1" si="41">IF(L181&gt;0,N181*100/L181,0)</f>
        <v>102.64964539007092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352500</v>
      </c>
      <c r="M183" s="92">
        <f t="shared" ca="1" si="43"/>
        <v>361840</v>
      </c>
      <c r="N183" s="92">
        <f t="shared" ca="1" si="43"/>
        <v>361840</v>
      </c>
      <c r="O183" s="92">
        <f t="shared" ca="1" si="41"/>
        <v>102.64964539007092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352500</v>
      </c>
      <c r="M184" s="497">
        <f ca="1">M185+M186</f>
        <v>361840</v>
      </c>
      <c r="N184" s="497">
        <f ca="1">N185+N186</f>
        <v>361840</v>
      </c>
      <c r="O184" s="497">
        <f t="shared" ca="1" si="41"/>
        <v>102.64964539007092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IFERROR(__xludf.DUMMYFUNCTION("IMPORTRANGE(""https://docs.google.com/spreadsheets/d/1MeEWN-I1oV_STSDYn1IFDPWt_1FKiwhDph83XaGc0o0/edit?usp=sharing"",""งบพรบ!CO53"")"),352500)</f>
        <v>352500</v>
      </c>
      <c r="M186" s="92">
        <f ca="1">IFERROR(__xludf.DUMMYFUNCTION("IMPORTRANGE(""https://docs.google.com/spreadsheets/d/1MeEWN-I1oV_STSDYn1IFDPWt_1FKiwhDph83XaGc0o0/edit?usp=sharing"",""งบพรบ!CT53"")"),361840)</f>
        <v>361840</v>
      </c>
      <c r="N186" s="92">
        <f ca="1">IFERROR(__xludf.DUMMYFUNCTION("IMPORTRANGE(""https://docs.google.com/spreadsheets/d/1MeEWN-I1oV_STSDYn1IFDPWt_1FKiwhDph83XaGc0o0/edit?usp=sharing"",""งบพรบ!CV53"")"),361840)</f>
        <v>361840</v>
      </c>
      <c r="O186" s="92">
        <f t="shared" ca="1" si="41"/>
        <v>102.64964539007092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IFERROR(__xludf.DUMMYFUNCTION("IMPORTRANGE(""https://docs.google.com/spreadsheets/d/1MeEWN-I1oV_STSDYn1IFDPWt_1FKiwhDph83XaGc0o0/edit?usp=sharing"",""งบพรบ!CR53"")"),0)</f>
        <v>0</v>
      </c>
      <c r="M189" s="92">
        <f ca="1">IFERROR(__xludf.DUMMYFUNCTION("IMPORTRANGE(""https://docs.google.com/spreadsheets/d/1MeEWN-I1oV_STSDYn1IFDPWt_1FKiwhDph83XaGc0o0/edit?usp=sharing"",""งบพรบ!CU53"")"),0)</f>
        <v>0</v>
      </c>
      <c r="N189" s="92">
        <f ca="1">IFERROR(__xludf.DUMMYFUNCTION("IMPORTRANGE(""https://docs.google.com/spreadsheets/d/1MeEWN-I1oV_STSDYn1IFDPWt_1FKiwhDph83XaGc0o0/edit?usp=sharing"",""งบพรบ!CW53"")"),0)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IFERROR(__xludf.DUMMYFUNCTION("IMPORTRANGE(""https://docs.google.com/spreadsheets/d/1QqKyyYR6Q21VydFLVH3TRQUabQu_ym0Zz7PgGX0-kHA/edit?usp=sharing"",""แผน!AC53"")"),4)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104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97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7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57000</v>
      </c>
      <c r="M198" s="154"/>
      <c r="N198" s="154">
        <f>N199+N200+N201+N202</f>
        <v>57000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3">
        <v>4000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3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3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3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IFERROR(__xludf.DUMMYFUNCTION("IMPORTRANGE(""https://docs.google.com/spreadsheets/d/1QqKyyYR6Q21VydFLVH3TRQUabQu_ym0Zz7PgGX0-kHA/edit?usp=sharing"",""แผน!AI53"")"),4)</f>
        <v>4</v>
      </c>
      <c r="J204" s="214">
        <v>4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446" t="s">
        <v>102</v>
      </c>
      <c r="F206" s="177"/>
      <c r="G206" s="178"/>
      <c r="H206" s="757" t="s">
        <v>96</v>
      </c>
      <c r="I206" s="269">
        <v>4</v>
      </c>
      <c r="J206" s="214">
        <v>4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8"/>
      <c r="H207" s="759" t="s">
        <v>104</v>
      </c>
      <c r="I207" s="269">
        <v>1</v>
      </c>
      <c r="J207" s="214">
        <v>1</v>
      </c>
      <c r="K207" s="162">
        <f>IF(I207&gt;0,J207*100/I207,0)</f>
        <v>100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6</v>
      </c>
      <c r="J208" s="271">
        <f>J215</f>
        <v>6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84000</v>
      </c>
      <c r="M209" s="154"/>
      <c r="N209" s="154">
        <f>N210+N211+N212</f>
        <v>84000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3">
        <v>6000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3">
        <v>30000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3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IFERROR(__xludf.DUMMYFUNCTION("IMPORTRANGE(""https://docs.google.com/spreadsheets/d/1QqKyyYR6Q21VydFLVH3TRQUabQu_ym0Zz7PgGX0-kHA/edit?usp=sharing"",""แผน!AN53"")"),6)</f>
        <v>6</v>
      </c>
      <c r="J214" s="214">
        <v>6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IFERROR(__xludf.DUMMYFUNCTION("IMPORTRANGE(""https://docs.google.com/spreadsheets/d/1QqKyyYR6Q21VydFLVH3TRQUabQu_ym0Zz7PgGX0-kHA/edit?usp=sharing"",""แผน!AN53"")"),6)</f>
        <v>6</v>
      </c>
      <c r="J215" s="214">
        <v>6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13500</v>
      </c>
      <c r="M217" s="154"/>
      <c r="N217" s="154">
        <f>N218+N219+N220</f>
        <v>13500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3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IFERROR(__xludf.DUMMYFUNCTION("IMPORTRANGE(""https://docs.google.com/spreadsheets/d/1QqKyyYR6Q21VydFLVH3TRQUabQu_ym0Zz7PgGX0-kHA/edit?usp=sharing"",""แผน!AT53"")"),30000)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IFERROR(__xludf.DUMMYFUNCTION("IMPORTRANGE(""https://docs.google.com/spreadsheets/d/1QqKyyYR6Q21VydFLVH3TRQUabQu_ym0Zz7PgGX0-kHA/edit?usp=sharing"",""แผน!AT53"")"),30000)</f>
        <v>30000</v>
      </c>
      <c r="J224" s="214">
        <v>30000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IFERROR(__xludf.DUMMYFUNCTION("IMPORTRANGE(""https://docs.google.com/spreadsheets/d/1QqKyyYR6Q21VydFLVH3TRQUabQu_ym0Zz7PgGX0-kHA/edit?usp=sharing"",""แผน!AS53"")"),0)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30</v>
      </c>
      <c r="J226" s="344">
        <f>J237+J248</f>
        <v>30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120200</v>
      </c>
      <c r="M227" s="355"/>
      <c r="N227" s="355">
        <f>N238+N249</f>
        <v>120200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55200</v>
      </c>
      <c r="M229" s="92"/>
      <c r="N229" s="92">
        <f>N240+N251</f>
        <v>55200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15000</v>
      </c>
      <c r="M230" s="92"/>
      <c r="N230" s="92">
        <f>N241+N252</f>
        <v>15000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30000</v>
      </c>
      <c r="M231" s="92"/>
      <c r="N231" s="92">
        <f>N242+N253</f>
        <v>30000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30</v>
      </c>
      <c r="J233" s="612">
        <f>J244+J255</f>
        <v>30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30</v>
      </c>
      <c r="J235" s="612">
        <f>J246+J257</f>
        <v>30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331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120200</v>
      </c>
      <c r="M238" s="154"/>
      <c r="N238" s="154">
        <f>N239+N240+N241+N242</f>
        <v>120200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IFERROR(__xludf.DUMMYFUNCTION("IMPORTRANGE(""https://docs.google.com/spreadsheets/d/1QqKyyYR6Q21VydFLVH3TRQUabQu_ym0Zz7PgGX0-kHA/edit?usp=sharing"",""แผน!AV53"")"),20000)</f>
        <v>20000</v>
      </c>
      <c r="M239" s="282"/>
      <c r="N239" s="862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IFERROR(__xludf.DUMMYFUNCTION("IMPORTRANGE(""https://docs.google.com/spreadsheets/d/1QqKyyYR6Q21VydFLVH3TRQUabQu_ym0Zz7PgGX0-kHA/edit?usp=sharing"",""แผน!AW53"")"),55200)</f>
        <v>55200</v>
      </c>
      <c r="M240" s="282"/>
      <c r="N240" s="862">
        <v>55200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IFERROR(__xludf.DUMMYFUNCTION("IMPORTRANGE(""https://docs.google.com/spreadsheets/d/1QqKyyYR6Q21VydFLVH3TRQUabQu_ym0Zz7PgGX0-kHA/edit?usp=sharing"",""แผน!AX53"")"),15000)</f>
        <v>15000</v>
      </c>
      <c r="M241" s="282"/>
      <c r="N241" s="862">
        <v>15000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IFERROR(__xludf.DUMMYFUNCTION("IMPORTRANGE(""https://docs.google.com/spreadsheets/d/1QqKyyYR6Q21VydFLVH3TRQUabQu_ym0Zz7PgGX0-kHA/edit?usp=sharing"",""แผน!AY53"")"),30000)</f>
        <v>30000</v>
      </c>
      <c r="M242" s="282"/>
      <c r="N242" s="862">
        <v>30000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IFERROR(__xludf.DUMMYFUNCTION("IMPORTRANGE(""https://docs.google.com/spreadsheets/d/1QqKyyYR6Q21VydFLVH3TRQUabQu_ym0Zz7PgGX0-kHA/edit?usp=sharing"",""แผน!BE53"")"),30)</f>
        <v>30</v>
      </c>
      <c r="J244" s="214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IFERROR(__xludf.DUMMYFUNCTION("IMPORTRANGE(""https://docs.google.com/spreadsheets/d/1QqKyyYR6Q21VydFLVH3TRQUabQu_ym0Zz7PgGX0-kHA/edit?usp=sharing"",""แผน!AZ53"")"),0)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IFERROR(__xludf.DUMMYFUNCTION("IMPORTRANGE(""https://docs.google.com/spreadsheets/d/1QqKyyYR6Q21VydFLVH3TRQUabQu_ym0Zz7PgGX0-kHA/edit?usp=sharing"",""แผน!BA53"")"),0)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IFERROR(__xludf.DUMMYFUNCTION("IMPORTRANGE(""https://docs.google.com/spreadsheets/d/1QqKyyYR6Q21VydFLVH3TRQUabQu_ym0Zz7PgGX0-kHA/edit?usp=sharing"",""แผน!BB53"")"),0)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IFERROR(__xludf.DUMMYFUNCTION("IMPORTRANGE(""https://docs.google.com/spreadsheets/d/1QqKyyYR6Q21VydFLVH3TRQUabQu_ym0Zz7PgGX0-kHA/edit?usp=sharing"",""แผน!BC53"")"),0)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28</v>
      </c>
      <c r="J260" s="252">
        <f>J271</f>
        <v>28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32600</v>
      </c>
      <c r="M261" s="154">
        <f ca="1">M262+M263</f>
        <v>32600</v>
      </c>
      <c r="N261" s="154">
        <f ca="1">N262+N263</f>
        <v>32600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32600</v>
      </c>
      <c r="M263" s="92">
        <f t="shared" ca="1" si="46"/>
        <v>32600</v>
      </c>
      <c r="N263" s="92">
        <f t="shared" ca="1" si="46"/>
        <v>32600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32600</v>
      </c>
      <c r="M264" s="497">
        <f ca="1">M265+M266</f>
        <v>32600</v>
      </c>
      <c r="N264" s="497">
        <f ca="1">N265+N266</f>
        <v>32600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IFERROR(__xludf.DUMMYFUNCTION("IMPORTRANGE(""https://docs.google.com/spreadsheets/d/1MeEWN-I1oV_STSDYn1IFDPWt_1FKiwhDph83XaGc0o0/edit?usp=sharing"",""งบพรบ!CY53"")"),32600)</f>
        <v>32600</v>
      </c>
      <c r="M266" s="92">
        <f ca="1">IFERROR(__xludf.DUMMYFUNCTION("IMPORTRANGE(""https://docs.google.com/spreadsheets/d/1MeEWN-I1oV_STSDYn1IFDPWt_1FKiwhDph83XaGc0o0/edit?usp=sharing"",""งบพรบ!DD53"")"),32600)</f>
        <v>32600</v>
      </c>
      <c r="N266" s="92">
        <f ca="1">IFERROR(__xludf.DUMMYFUNCTION("IMPORTRANGE(""https://docs.google.com/spreadsheets/d/1MeEWN-I1oV_STSDYn1IFDPWt_1FKiwhDph83XaGc0o0/edit?usp=sharing"",""งบพรบ!DF53"")"),32600)</f>
        <v>32600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IFERROR(__xludf.DUMMYFUNCTION("IMPORTRANGE(""https://docs.google.com/spreadsheets/d/1MeEWN-I1oV_STSDYn1IFDPWt_1FKiwhDph83XaGc0o0/edit?usp=sharing"",""งบพรบ!DB53"")"),0)</f>
        <v>0</v>
      </c>
      <c r="M269" s="92">
        <f ca="1">IFERROR(__xludf.DUMMYFUNCTION("IMPORTRANGE(""https://docs.google.com/spreadsheets/d/1MeEWN-I1oV_STSDYn1IFDPWt_1FKiwhDph83XaGc0o0/edit?usp=sharing"",""งบพรบ!DE53"")"),0)</f>
        <v>0</v>
      </c>
      <c r="N269" s="92">
        <f ca="1">IFERROR(__xludf.DUMMYFUNCTION("IMPORTRANGE(""https://docs.google.com/spreadsheets/d/1MeEWN-I1oV_STSDYn1IFDPWt_1FKiwhDph83XaGc0o0/edit?usp=sharing"",""งบพรบ!DG53"")"),0)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IFERROR(__xludf.DUMMYFUNCTION("IMPORTRANGE(""https://docs.google.com/spreadsheets/d/1QqKyyYR6Q21VydFLVH3TRQUabQu_ym0Zz7PgGX0-kHA/edit?usp=sharing"",""แผน!EA53"")"),28)</f>
        <v>28</v>
      </c>
      <c r="J271" s="214">
        <v>28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25</v>
      </c>
      <c r="J275" s="405">
        <f ca="1">J288</f>
        <v>25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250</v>
      </c>
      <c r="J276" s="860">
        <f>J287</f>
        <v>250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194020</v>
      </c>
      <c r="M277" s="154">
        <f ca="1">M278+M279</f>
        <v>194020</v>
      </c>
      <c r="N277" s="154">
        <f ca="1">N278+N279</f>
        <v>194020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194020</v>
      </c>
      <c r="M279" s="92">
        <f t="shared" ca="1" si="49"/>
        <v>194020</v>
      </c>
      <c r="N279" s="92">
        <f t="shared" ca="1" si="49"/>
        <v>194020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194020</v>
      </c>
      <c r="M280" s="497">
        <f ca="1">M281+M282</f>
        <v>194020</v>
      </c>
      <c r="N280" s="497">
        <f ca="1">N281+N282</f>
        <v>194020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IFERROR(__xludf.DUMMYFUNCTION("IMPORTRANGE(""https://docs.google.com/spreadsheets/d/1MeEWN-I1oV_STSDYn1IFDPWt_1FKiwhDph83XaGc0o0/edit?usp=sharing"",""งบพรบ!DI53"")"),194020)</f>
        <v>194020</v>
      </c>
      <c r="M282" s="92">
        <f ca="1">IFERROR(__xludf.DUMMYFUNCTION("IMPORTRANGE(""https://docs.google.com/spreadsheets/d/1MeEWN-I1oV_STSDYn1IFDPWt_1FKiwhDph83XaGc0o0/edit?usp=sharing"",""งบพรบ!DN53"")"),194020)</f>
        <v>194020</v>
      </c>
      <c r="N282" s="92">
        <f ca="1">IFERROR(__xludf.DUMMYFUNCTION("IMPORTRANGE(""https://docs.google.com/spreadsheets/d/1MeEWN-I1oV_STSDYn1IFDPWt_1FKiwhDph83XaGc0o0/edit?usp=sharing"",""งบพรบ!DP53"")"),194020)</f>
        <v>194020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IFERROR(__xludf.DUMMYFUNCTION("IMPORTRANGE(""https://docs.google.com/spreadsheets/d/1MeEWN-I1oV_STSDYn1IFDPWt_1FKiwhDph83XaGc0o0/edit?usp=sharing"",""งบพรบ!DL53"")"),0)</f>
        <v>0</v>
      </c>
      <c r="M285" s="92">
        <f ca="1">IFERROR(__xludf.DUMMYFUNCTION("IMPORTRANGE(""https://docs.google.com/spreadsheets/d/1MeEWN-I1oV_STSDYn1IFDPWt_1FKiwhDph83XaGc0o0/edit?usp=sharing"",""งบพรบ!DO53"")"),0)</f>
        <v>0</v>
      </c>
      <c r="N285" s="92">
        <f ca="1">IFERROR(__xludf.DUMMYFUNCTION("IMPORTRANGE(""https://docs.google.com/spreadsheets/d/1MeEWN-I1oV_STSDYn1IFDPWt_1FKiwhDph83XaGc0o0/edit?usp=sharing"",""งบพรบ!DQ53"")"),0)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IFERROR(__xludf.DUMMYFUNCTION("IMPORTRANGE(""https://docs.google.com/spreadsheets/d/1QqKyyYR6Q21VydFLVH3TRQUabQu_ym0Zz7PgGX0-kHA/edit?usp=sharing"",""แผน!EC53"")"),250)</f>
        <v>250</v>
      </c>
      <c r="J287" s="214">
        <v>250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IFERROR(__xludf.DUMMYFUNCTION("IMPORTRANGE(""https://docs.google.com/spreadsheets/d/1QqKyyYR6Q21VydFLVH3TRQUabQu_ym0Zz7PgGX0-kHA/edit?usp=sharing"",""แผน!EB53"")"),25)</f>
        <v>25</v>
      </c>
      <c r="J290" s="214">
        <v>25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IFERROR(__xludf.DUMMYFUNCTION("IMPORTRANGE(""https://docs.google.com/spreadsheets/d/1QqKyyYR6Q21VydFLVH3TRQUabQu_ym0Zz7PgGX0-kHA/edit?usp=sharing"",""แผน!EB53"")"),25)</f>
        <v>25</v>
      </c>
      <c r="J291" s="214">
        <v>25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IFERROR(__xludf.DUMMYFUNCTION("IMPORTRANGE(""https://docs.google.com/spreadsheets/d/1QqKyyYR6Q21VydFLVH3TRQUabQu_ym0Zz7PgGX0-kHA/edit?usp=sharing"",""แผน!EB53"")"),25)</f>
        <v>25</v>
      </c>
      <c r="J293" s="214">
        <v>25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IFERROR(__xludf.DUMMYFUNCTION("IMPORTRANGE(""https://docs.google.com/spreadsheets/d/1QqKyyYR6Q21VydFLVH3TRQUabQu_ym0Zz7PgGX0-kHA/edit?usp=sharing"",""แผน!EB53"")"),25)</f>
        <v>25</v>
      </c>
      <c r="J294" s="423">
        <v>25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20</v>
      </c>
      <c r="J297" s="443">
        <f>J309</f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368400</v>
      </c>
      <c r="M298" s="154">
        <f ca="1">M299+M300</f>
        <v>388900</v>
      </c>
      <c r="N298" s="154">
        <f ca="1">N299+N300</f>
        <v>388900</v>
      </c>
      <c r="O298" s="154">
        <f t="shared" ref="O298:O306" ca="1" si="50">IF(L298&gt;0,N298*100/L298,0)</f>
        <v>105.56460369163952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368400</v>
      </c>
      <c r="M300" s="92">
        <f t="shared" ca="1" si="52"/>
        <v>388900</v>
      </c>
      <c r="N300" s="92">
        <f t="shared" ca="1" si="52"/>
        <v>388900</v>
      </c>
      <c r="O300" s="92">
        <f t="shared" ca="1" si="50"/>
        <v>105.56460369163952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368400</v>
      </c>
      <c r="M301" s="497">
        <f ca="1">M302+M303</f>
        <v>388900</v>
      </c>
      <c r="N301" s="497">
        <f ca="1">N302+N303</f>
        <v>388900</v>
      </c>
      <c r="O301" s="497">
        <f t="shared" ca="1" si="50"/>
        <v>105.56460369163952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IFERROR(__xludf.DUMMYFUNCTION("IMPORTRANGE(""https://docs.google.com/spreadsheets/d/1MeEWN-I1oV_STSDYn1IFDPWt_1FKiwhDph83XaGc0o0/edit?usp=sharing"",""งบพรบ!DS53"")"),368400)</f>
        <v>368400</v>
      </c>
      <c r="M303" s="92">
        <f ca="1">IFERROR(__xludf.DUMMYFUNCTION("IMPORTRANGE(""https://docs.google.com/spreadsheets/d/1MeEWN-I1oV_STSDYn1IFDPWt_1FKiwhDph83XaGc0o0/edit?usp=sharing"",""งบพรบ!DX53"")"),388900)</f>
        <v>388900</v>
      </c>
      <c r="N303" s="92">
        <f ca="1">IFERROR(__xludf.DUMMYFUNCTION("IMPORTRANGE(""https://docs.google.com/spreadsheets/d/1MeEWN-I1oV_STSDYn1IFDPWt_1FKiwhDph83XaGc0o0/edit?usp=sharing"",""งบพรบ!DZ53"")"),388900)</f>
        <v>388900</v>
      </c>
      <c r="O303" s="92">
        <f t="shared" ca="1" si="50"/>
        <v>105.56460369163952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IFERROR(__xludf.DUMMYFUNCTION("IMPORTRANGE(""https://docs.google.com/spreadsheets/d/1MeEWN-I1oV_STSDYn1IFDPWt_1FKiwhDph83XaGc0o0/edit?usp=sharing"",""งบพรบ!DV53"")"),0)</f>
        <v>0</v>
      </c>
      <c r="M306" s="92">
        <f ca="1">IFERROR(__xludf.DUMMYFUNCTION("IMPORTRANGE(""https://docs.google.com/spreadsheets/d/1MeEWN-I1oV_STSDYn1IFDPWt_1FKiwhDph83XaGc0o0/edit?usp=sharing"",""งบพรบ!DY53"")"),0)</f>
        <v>0</v>
      </c>
      <c r="N306" s="92">
        <f ca="1">IFERROR(__xludf.DUMMYFUNCTION("IMPORTRANGE(""https://docs.google.com/spreadsheets/d/1MeEWN-I1oV_STSDYn1IFDPWt_1FKiwhDph83XaGc0o0/edit?usp=sharing"",""งบพรบ!EA53"")"),0)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IFERROR(__xludf.DUMMYFUNCTION("IMPORTRANGE(""https://docs.google.com/spreadsheets/d/1QqKyyYR6Q21VydFLVH3TRQUabQu_ym0Zz7PgGX0-kHA/edit?usp=sharing"",""แผน!ED53"")"),20)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IFERROR(__xludf.DUMMYFUNCTION("IMPORTRANGE(""https://docs.google.com/spreadsheets/d/1QqKyyYR6Q21VydFLVH3TRQUabQu_ym0Zz7PgGX0-kHA/edit?usp=sharing"",""แผน!ED53"")"),20)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IFERROR(__xludf.DUMMYFUNCTION("IMPORTRANGE(""https://docs.google.com/spreadsheets/d/1QqKyyYR6Q21VydFLVH3TRQUabQu_ym0Zz7PgGX0-kHA/edit?usp=sharing"",""แผน!ED53"")"),20)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IFERROR(__xludf.DUMMYFUNCTION("IMPORTRANGE(""https://docs.google.com/spreadsheets/d/1QqKyyYR6Q21VydFLVH3TRQUabQu_ym0Zz7PgGX0-kHA/edit?usp=sharing"",""แผน!EE53"")"),4)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1</v>
      </c>
      <c r="J314" s="443">
        <f>J325</f>
        <v>1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19.5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153000</v>
      </c>
      <c r="O315" s="154">
        <f t="shared" ref="O315:O323" ca="1" si="53">IF(L315&gt;0,N315*100/L315,0)</f>
        <v>100</v>
      </c>
      <c r="P315" s="154">
        <f t="shared" ref="P315:P323" ca="1" si="54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153000</v>
      </c>
      <c r="M317" s="92">
        <f t="shared" ca="1" si="55"/>
        <v>153000</v>
      </c>
      <c r="N317" s="92">
        <f t="shared" ca="1" si="55"/>
        <v>153000</v>
      </c>
      <c r="O317" s="92">
        <f t="shared" ca="1" si="53"/>
        <v>100</v>
      </c>
      <c r="P317" s="92">
        <f t="shared" ca="1" si="54"/>
        <v>100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153000</v>
      </c>
      <c r="N318" s="497">
        <f ca="1">N319+N320</f>
        <v>153000</v>
      </c>
      <c r="O318" s="497">
        <f t="shared" ca="1" si="53"/>
        <v>100</v>
      </c>
      <c r="P318" s="497">
        <f t="shared" ca="1" si="54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IFERROR(__xludf.DUMMYFUNCTION("IMPORTRANGE(""https://docs.google.com/spreadsheets/d/1MeEWN-I1oV_STSDYn1IFDPWt_1FKiwhDph83XaGc0o0/edit?usp=sharing"",""งบพรบ!EC53"")"),153000)</f>
        <v>153000</v>
      </c>
      <c r="M320" s="92">
        <f ca="1">IFERROR(__xludf.DUMMYFUNCTION("IMPORTRANGE(""https://docs.google.com/spreadsheets/d/1MeEWN-I1oV_STSDYn1IFDPWt_1FKiwhDph83XaGc0o0/edit?usp=sharing"",""งบพรบ!EH53"")"),153000)</f>
        <v>153000</v>
      </c>
      <c r="N320" s="92">
        <f ca="1">IFERROR(__xludf.DUMMYFUNCTION("IMPORTRANGE(""https://docs.google.com/spreadsheets/d/1MeEWN-I1oV_STSDYn1IFDPWt_1FKiwhDph83XaGc0o0/edit?usp=sharing"",""งบพรบ!EJ53"")"),153000)</f>
        <v>153000</v>
      </c>
      <c r="O320" s="92">
        <f t="shared" ca="1" si="53"/>
        <v>100</v>
      </c>
      <c r="P320" s="92">
        <f t="shared" ca="1" si="54"/>
        <v>100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IFERROR(__xludf.DUMMYFUNCTION("IMPORTRANGE(""https://docs.google.com/spreadsheets/d/1MeEWN-I1oV_STSDYn1IFDPWt_1FKiwhDph83XaGc0o0/edit?usp=sharing"",""งบพรบ!EF53"")"),0)</f>
        <v>0</v>
      </c>
      <c r="M323" s="92">
        <f ca="1">IFERROR(__xludf.DUMMYFUNCTION("IMPORTRANGE(""https://docs.google.com/spreadsheets/d/1MeEWN-I1oV_STSDYn1IFDPWt_1FKiwhDph83XaGc0o0/edit?usp=sharing"",""งบพรบ!EI53"")"),0)</f>
        <v>0</v>
      </c>
      <c r="N323" s="92">
        <f ca="1">IFERROR(__xludf.DUMMYFUNCTION("IMPORTRANGE(""https://docs.google.com/spreadsheets/d/1MeEWN-I1oV_STSDYn1IFDPWt_1FKiwhDph83XaGc0o0/edit?usp=sharing"",""งบพรบ!EK53"")"),0)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IFERROR(__xludf.DUMMYFUNCTION("IMPORTRANGE(""https://docs.google.com/spreadsheets/d/1QqKyyYR6Q21VydFLVH3TRQUabQu_ym0Zz7PgGX0-kHA/edit?usp=sharing"",""แผน!EF53"")"),1)</f>
        <v>1</v>
      </c>
      <c r="J325" s="214">
        <v>1</v>
      </c>
      <c r="K325" s="497">
        <f ca="1">IF(I325&gt;0,J325*100/I325,0)</f>
        <v>100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IFERROR(__xludf.DUMMYFUNCTION("IMPORTRANGE(""https://docs.google.com/spreadsheets/d/1QqKyyYR6Q21VydFLVH3TRQUabQu_ym0Zz7PgGX0-kHA/edit?usp=sharing"",""แผน!EG53"")"),1600)</f>
        <v>1600</v>
      </c>
      <c r="J327" s="443">
        <f ca="1">J338+J341+J342+J343</f>
        <v>4909</v>
      </c>
      <c r="K327" s="444">
        <f ca="1">IF(I327&gt;0,J327*100/I327,0)</f>
        <v>306.8125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168000</v>
      </c>
      <c r="M328" s="154">
        <f ca="1">M329+M330</f>
        <v>170500</v>
      </c>
      <c r="N328" s="154">
        <f ca="1">N329+N330</f>
        <v>170500</v>
      </c>
      <c r="O328" s="154">
        <f t="shared" ref="O328:O336" ca="1" si="56">IF(L328&gt;0,N328*100/L328,0)</f>
        <v>101.48809523809524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168000</v>
      </c>
      <c r="M330" s="92">
        <f t="shared" ca="1" si="58"/>
        <v>170500</v>
      </c>
      <c r="N330" s="92">
        <f t="shared" ca="1" si="58"/>
        <v>170500</v>
      </c>
      <c r="O330" s="92">
        <f t="shared" ca="1" si="56"/>
        <v>101.48809523809524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168000</v>
      </c>
      <c r="M331" s="497">
        <f ca="1">M332+M333</f>
        <v>170500</v>
      </c>
      <c r="N331" s="497">
        <f ca="1">N332+N333</f>
        <v>170500</v>
      </c>
      <c r="O331" s="497">
        <f t="shared" ca="1" si="56"/>
        <v>101.48809523809524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IFERROR(__xludf.DUMMYFUNCTION("IMPORTRANGE(""https://docs.google.com/spreadsheets/d/1MeEWN-I1oV_STSDYn1IFDPWt_1FKiwhDph83XaGc0o0/edit?usp=sharing"",""งบพรบ!EM53"")"),168000)</f>
        <v>168000</v>
      </c>
      <c r="M333" s="92">
        <f ca="1">IFERROR(__xludf.DUMMYFUNCTION("IMPORTRANGE(""https://docs.google.com/spreadsheets/d/1MeEWN-I1oV_STSDYn1IFDPWt_1FKiwhDph83XaGc0o0/edit?usp=sharing"",""งบพรบ!ER53"")"),170500)</f>
        <v>170500</v>
      </c>
      <c r="N333" s="92">
        <f ca="1">IFERROR(__xludf.DUMMYFUNCTION("IMPORTRANGE(""https://docs.google.com/spreadsheets/d/1MeEWN-I1oV_STSDYn1IFDPWt_1FKiwhDph83XaGc0o0/edit?usp=sharing"",""งบพรบ!ET53"")"),170500)</f>
        <v>170500</v>
      </c>
      <c r="O333" s="92">
        <f t="shared" ca="1" si="56"/>
        <v>101.48809523809524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IFERROR(__xludf.DUMMYFUNCTION("IMPORTRANGE(""https://docs.google.com/spreadsheets/d/1MeEWN-I1oV_STSDYn1IFDPWt_1FKiwhDph83XaGc0o0/edit?usp=sharing"",""งบพรบ!EP53"")"),0)</f>
        <v>0</v>
      </c>
      <c r="M336" s="92">
        <f ca="1">IFERROR(__xludf.DUMMYFUNCTION("IMPORTRANGE(""https://docs.google.com/spreadsheets/d/1MeEWN-I1oV_STSDYn1IFDPWt_1FKiwhDph83XaGc0o0/edit?usp=sharing"",""งบพรบ!ES53"")"),0)</f>
        <v>0</v>
      </c>
      <c r="N336" s="92">
        <f ca="1">IFERROR(__xludf.DUMMYFUNCTION("IMPORTRANGE(""https://docs.google.com/spreadsheets/d/1MeEWN-I1oV_STSDYn1IFDPWt_1FKiwhDph83XaGc0o0/edit?usp=sharing"",""งบพรบ!EU53"")"),0)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IFERROR(__xludf.DUMMYFUNCTION("IMPORTRANGE(""https://docs.google.com/spreadsheets/d/1QqKyyYR6Q21VydFLVH3TRQUabQu_ym0Zz7PgGX0-kHA/edit?usp=sharing"",""แผน!EG53"")"),1600)</f>
        <v>1600</v>
      </c>
      <c r="J338" s="269">
        <f ca="1">IFERROR(__xludf.DUMMYFUNCTION("IMPORTRANGE(""https://docs.google.com/spreadsheets/d/1kVcqe37tkHyjCSG3S0O1AXqVkqjo8mSIZil3BcpIysc/edit?usp=sharing"",""ศูนย์!D53"")"),4645)</f>
        <v>4645</v>
      </c>
      <c r="K338" s="497">
        <f ca="1">IF(I338&gt;0,J338*100/I338,0)</f>
        <v>290.3125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IFERROR(__xludf.DUMMYFUNCTION("IMPORTRANGE(""https://docs.google.com/spreadsheets/d/1QqKyyYR6Q21VydFLVH3TRQUabQu_ym0Zz7PgGX0-kHA/edit?usp=sharing"",""แผน!EH53"")"),5)</f>
        <v>5</v>
      </c>
      <c r="J340" s="269">
        <f ca="1">IFERROR(__xludf.DUMMYFUNCTION("IMPORTRANGE(""https://docs.google.com/spreadsheets/d/1kVcqe37tkHyjCSG3S0O1AXqVkqjo8mSIZil3BcpIysc/edit?usp=sharing"",""ศูนย์!E53"")"),5)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IFERROR(__xludf.DUMMYFUNCTION("IMPORTRANGE(""https://docs.google.com/spreadsheets/d/1kVcqe37tkHyjCSG3S0O1AXqVkqjo8mSIZil3BcpIysc/edit?usp=sharing"",""ศูนย์!F53"")"),260)</f>
        <v>260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IFERROR(__xludf.DUMMYFUNCTION("IMPORTRANGE(""https://docs.google.com/spreadsheets/d/1kVcqe37tkHyjCSG3S0O1AXqVkqjo8mSIZil3BcpIysc/edit?usp=sharing"",""ศูนย์!G53"")"),4)</f>
        <v>4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1015940</v>
      </c>
      <c r="M345" s="154">
        <f ca="1">M346+M347</f>
        <v>1260980</v>
      </c>
      <c r="N345" s="154">
        <f ca="1">N346+N347</f>
        <v>1260980</v>
      </c>
      <c r="O345" s="154">
        <f t="shared" ref="O345:O353" ca="1" si="59">IF(L345&gt;0,N345*100/L345,0)</f>
        <v>124.11953461818611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1015940</v>
      </c>
      <c r="M347" s="92">
        <f t="shared" ca="1" si="61"/>
        <v>1260980</v>
      </c>
      <c r="N347" s="92">
        <f t="shared" ca="1" si="61"/>
        <v>1260980</v>
      </c>
      <c r="O347" s="92">
        <f t="shared" ca="1" si="59"/>
        <v>124.11953461818611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895340</v>
      </c>
      <c r="M348" s="497">
        <f ca="1">M349+M350</f>
        <v>1140380</v>
      </c>
      <c r="N348" s="497">
        <f ca="1">N349+N350</f>
        <v>1140380</v>
      </c>
      <c r="O348" s="497">
        <f t="shared" ca="1" si="59"/>
        <v>127.36837402550987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IFERROR(__xludf.DUMMYFUNCTION("IMPORTRANGE(""https://docs.google.com/spreadsheets/d/1MeEWN-I1oV_STSDYn1IFDPWt_1FKiwhDph83XaGc0o0/edit?usp=sharing"",""งบพรบ!EW53"")"),895340)</f>
        <v>895340</v>
      </c>
      <c r="M350" s="92">
        <f ca="1">IFERROR(__xludf.DUMMYFUNCTION("IMPORTRANGE(""https://docs.google.com/spreadsheets/d/1MeEWN-I1oV_STSDYn1IFDPWt_1FKiwhDph83XaGc0o0/edit?usp=sharing"",""งบพรบ!FB53"")"),1140380)</f>
        <v>1140380</v>
      </c>
      <c r="N350" s="92">
        <f ca="1">IFERROR(__xludf.DUMMYFUNCTION("IMPORTRANGE(""https://docs.google.com/spreadsheets/d/1MeEWN-I1oV_STSDYn1IFDPWt_1FKiwhDph83XaGc0o0/edit?usp=sharing"",""งบพรบ!FD53"")"),1140380)</f>
        <v>1140380</v>
      </c>
      <c r="O350" s="92">
        <f t="shared" ca="1" si="59"/>
        <v>127.36837402550987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120600</v>
      </c>
      <c r="M351" s="497">
        <f ca="1">M352+M353</f>
        <v>120600</v>
      </c>
      <c r="N351" s="497">
        <f ca="1">N352+N353</f>
        <v>120600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IFERROR(__xludf.DUMMYFUNCTION("IMPORTRANGE(""https://docs.google.com/spreadsheets/d/1MeEWN-I1oV_STSDYn1IFDPWt_1FKiwhDph83XaGc0o0/edit?usp=sharing"",""งบพรบ!EZ53"")"),120600)</f>
        <v>120600</v>
      </c>
      <c r="M353" s="92">
        <f ca="1">IFERROR(__xludf.DUMMYFUNCTION("IMPORTRANGE(""https://docs.google.com/spreadsheets/d/1MeEWN-I1oV_STSDYn1IFDPWt_1FKiwhDph83XaGc0o0/edit?usp=sharing"",""งบพรบ!FC53"")"),120600)</f>
        <v>120600</v>
      </c>
      <c r="N353" s="92">
        <f ca="1">IFERROR(__xludf.DUMMYFUNCTION("IMPORTRANGE(""https://docs.google.com/spreadsheets/d/1MeEWN-I1oV_STSDYn1IFDPWt_1FKiwhDph83XaGc0o0/edit?usp=sharing"",""งบพรบ!FE53"")"),120600)</f>
        <v>120600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82</v>
      </c>
      <c r="K355" s="465">
        <f ca="1">IF(I355&gt;0,J355*100/I355,0)</f>
        <v>27.333333333333332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IFERROR(__xludf.DUMMYFUNCTION("IMPORTRANGE(""https://docs.google.com/spreadsheets/d/1XWAQStnk-4SwqDmLtmXYiTMKHgktTP8We1SCoS47DrQ/edit?usp=sharing"",""จัดที่ดิน!W53"")"),313)</f>
        <v>313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IFERROR(__xludf.DUMMYFUNCTION("IMPORTRANGE(""https://docs.google.com/spreadsheets/d/1QqKyyYR6Q21VydFLVH3TRQUabQu_ym0Zz7PgGX0-kHA/edit?usp=sharing"",""แผน!EO53"")"),3000)</f>
        <v>3000</v>
      </c>
      <c r="J359" s="269">
        <f ca="1">IFERROR(__xludf.DUMMYFUNCTION("IMPORTRANGE(""https://docs.google.com/spreadsheets/d/1XWAQStnk-4SwqDmLtmXYiTMKHgktTP8We1SCoS47DrQ/edit?usp=sharing"",""จัดที่ดิน!X53"")"),3707.06999999999)</f>
        <v>3707.0699999999902</v>
      </c>
      <c r="K359" s="497">
        <f t="shared" ca="1" si="62"/>
        <v>123.56899999999968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IFERROR(__xludf.DUMMYFUNCTION("IMPORTRANGE(""https://docs.google.com/spreadsheets/d/1QqKyyYR6Q21VydFLVH3TRQUabQu_ym0Zz7PgGX0-kHA/edit?usp=sharing"",""แผน!EP53"")"),300)</f>
        <v>300</v>
      </c>
      <c r="J360" s="269">
        <f ca="1">IFERROR(__xludf.DUMMYFUNCTION("IMPORTRANGE(""https://docs.google.com/spreadsheets/d/1XWAQStnk-4SwqDmLtmXYiTMKHgktTP8We1SCoS47DrQ/edit?usp=sharing"",""จัดที่ดิน!Y53"")"),88)</f>
        <v>88</v>
      </c>
      <c r="K360" s="497">
        <f t="shared" ca="1" si="62"/>
        <v>29.333333333333332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IFERROR(__xludf.DUMMYFUNCTION("IMPORTRANGE(""https://docs.google.com/spreadsheets/d/1XWAQStnk-4SwqDmLtmXYiTMKHgktTP8We1SCoS47DrQ/edit?usp=sharing"",""จัดที่ดิน!Z53"")"),938.329999999999)</f>
        <v>938.32999999999902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IFERROR(__xludf.DUMMYFUNCTION("IMPORTRANGE(""https://docs.google.com/spreadsheets/d/1QqKyyYR6Q21VydFLVH3TRQUabQu_ym0Zz7PgGX0-kHA/edit?usp=sharing"",""แผน!EP53"")"),300)</f>
        <v>300</v>
      </c>
      <c r="J362" s="269">
        <f ca="1">IFERROR(__xludf.DUMMYFUNCTION("IMPORTRANGE(""https://docs.google.com/spreadsheets/d/1XWAQStnk-4SwqDmLtmXYiTMKHgktTP8We1SCoS47DrQ/edit?usp=sharing"",""จัดที่ดิน!AA53"")"),82)</f>
        <v>82</v>
      </c>
      <c r="K362" s="497">
        <f t="shared" ca="1" si="62"/>
        <v>27.333333333333332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IFERROR(__xludf.DUMMYFUNCTION("IMPORTRANGE(""https://docs.google.com/spreadsheets/d/1XWAQStnk-4SwqDmLtmXYiTMKHgktTP8We1SCoS47DrQ/edit?usp=sharing"",""จัดที่ดิน!AB53"")"),875.12)</f>
        <v>875.12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340</v>
      </c>
      <c r="J364" s="478">
        <f ca="1">J365+J374</f>
        <v>303</v>
      </c>
      <c r="K364" s="479">
        <f t="shared" ca="1" si="62"/>
        <v>89.117647058823536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40</v>
      </c>
      <c r="K365" s="491">
        <f t="shared" ca="1" si="62"/>
        <v>40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IFERROR(__xludf.DUMMYFUNCTION("IMPORTRANGE(""https://docs.google.com/spreadsheets/d/1XWAQStnk-4SwqDmLtmXYiTMKHgktTP8We1SCoS47DrQ/edit?usp=sharing"",""จัดที่ดิน!E53"")"),92)</f>
        <v>92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IFERROR(__xludf.DUMMYFUNCTION("IMPORTRANGE(""https://docs.google.com/spreadsheets/d/1QqKyyYR6Q21VydFLVH3TRQUabQu_ym0Zz7PgGX0-kHA/edit?usp=sharing"",""แผน!EI53"")"),1000)</f>
        <v>1000</v>
      </c>
      <c r="J369" s="269">
        <f ca="1">IFERROR(__xludf.DUMMYFUNCTION("IMPORTRANGE(""https://docs.google.com/spreadsheets/d/1XWAQStnk-4SwqDmLtmXYiTMKHgktTP8We1SCoS47DrQ/edit?usp=sharing"",""จัดที่ดิน!F53"")"),1888.24)</f>
        <v>1888.24</v>
      </c>
      <c r="K369" s="497">
        <f t="shared" ca="1" si="63"/>
        <v>188.82400000000001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IFERROR(__xludf.DUMMYFUNCTION("IMPORTRANGE(""https://docs.google.com/spreadsheets/d/1QqKyyYR6Q21VydFLVH3TRQUabQu_ym0Zz7PgGX0-kHA/edit?usp=sharing"",""แผน!EJ53"")"),100)</f>
        <v>100</v>
      </c>
      <c r="J370" s="269">
        <f ca="1">IFERROR(__xludf.DUMMYFUNCTION("IMPORTRANGE(""https://docs.google.com/spreadsheets/d/1XWAQStnk-4SwqDmLtmXYiTMKHgktTP8We1SCoS47DrQ/edit?usp=sharing"",""จัดที่ดิน!G53"")"),44)</f>
        <v>44</v>
      </c>
      <c r="K370" s="497">
        <f t="shared" ca="1" si="63"/>
        <v>44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IFERROR(__xludf.DUMMYFUNCTION("IMPORTRANGE(""https://docs.google.com/spreadsheets/d/1XWAQStnk-4SwqDmLtmXYiTMKHgktTP8We1SCoS47DrQ/edit?usp=sharing"",""จัดที่ดิน!H53"")"),550.54)</f>
        <v>550.54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IFERROR(__xludf.DUMMYFUNCTION("IMPORTRANGE(""https://docs.google.com/spreadsheets/d/1QqKyyYR6Q21VydFLVH3TRQUabQu_ym0Zz7PgGX0-kHA/edit?usp=sharing"",""แผน!EJ53"")"),100)</f>
        <v>100</v>
      </c>
      <c r="J372" s="269">
        <f ca="1">IFERROR(__xludf.DUMMYFUNCTION("IMPORTRANGE(""https://docs.google.com/spreadsheets/d/1XWAQStnk-4SwqDmLtmXYiTMKHgktTP8We1SCoS47DrQ/edit?usp=sharing"",""จัดที่ดิน!I53"")"),40)</f>
        <v>40</v>
      </c>
      <c r="K372" s="497">
        <f t="shared" ca="1" si="63"/>
        <v>40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IFERROR(__xludf.DUMMYFUNCTION("IMPORTRANGE(""https://docs.google.com/spreadsheets/d/1XWAQStnk-4SwqDmLtmXYiTMKHgktTP8We1SCoS47DrQ/edit?usp=sharing"",""จัดที่ดิน!J53"")"),516.15)</f>
        <v>516.15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263</v>
      </c>
      <c r="K374" s="491">
        <f t="shared" ca="1" si="63"/>
        <v>109.58333333333333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IFERROR(__xludf.DUMMYFUNCTION("IMPORTRANGE(""https://docs.google.com/spreadsheets/d/1XWAQStnk-4SwqDmLtmXYiTMKHgktTP8We1SCoS47DrQ/edit?usp=sharing"",""จัดที่ดิน!AH53"")"),221)</f>
        <v>221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IFERROR(__xludf.DUMMYFUNCTION("IMPORTRANGE(""https://docs.google.com/spreadsheets/d/1QqKyyYR6Q21VydFLVH3TRQUabQu_ym0Zz7PgGX0-kHA/edit?usp=sharing"",""แผน!ET53"")"),2000)</f>
        <v>2000</v>
      </c>
      <c r="J378" s="269">
        <f ca="1">IFERROR(__xludf.DUMMYFUNCTION("IMPORTRANGE(""https://docs.google.com/spreadsheets/d/1XWAQStnk-4SwqDmLtmXYiTMKHgktTP8We1SCoS47DrQ/edit?usp=sharing"",""จัดที่ดิน!AI53"")"),1818.83)</f>
        <v>1818.83</v>
      </c>
      <c r="K378" s="497">
        <f t="shared" ca="1" si="64"/>
        <v>90.941500000000005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IFERROR(__xludf.DUMMYFUNCTION("IMPORTRANGE(""https://docs.google.com/spreadsheets/d/1QqKyyYR6Q21VydFLVH3TRQUabQu_ym0Zz7PgGX0-kHA/edit?usp=sharing"",""แผน!EU53"")"),240)</f>
        <v>240</v>
      </c>
      <c r="J379" s="269">
        <f ca="1">IFERROR(__xludf.DUMMYFUNCTION("IMPORTRANGE(""https://docs.google.com/spreadsheets/d/1XWAQStnk-4SwqDmLtmXYiTMKHgktTP8We1SCoS47DrQ/edit?usp=sharing"",""จัดที่ดิน!AJ53"")"),265)</f>
        <v>265</v>
      </c>
      <c r="K379" s="497">
        <f t="shared" ca="1" si="64"/>
        <v>110.41666666666667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IFERROR(__xludf.DUMMYFUNCTION("IMPORTRANGE(""https://docs.google.com/spreadsheets/d/1XWAQStnk-4SwqDmLtmXYiTMKHgktTP8We1SCoS47DrQ/edit?usp=sharing"",""จัดที่ดิน!AK53"")"),4080.44)</f>
        <v>4080.44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IFERROR(__xludf.DUMMYFUNCTION("IMPORTRANGE(""https://docs.google.com/spreadsheets/d/1QqKyyYR6Q21VydFLVH3TRQUabQu_ym0Zz7PgGX0-kHA/edit?usp=sharing"",""แผน!EU53"")"),240)</f>
        <v>240</v>
      </c>
      <c r="J381" s="269">
        <f ca="1">IFERROR(__xludf.DUMMYFUNCTION("IMPORTRANGE(""https://docs.google.com/spreadsheets/d/1XWAQStnk-4SwqDmLtmXYiTMKHgktTP8We1SCoS47DrQ/edit?usp=sharing"",""จัดที่ดิน!AL53"")"),263)</f>
        <v>263</v>
      </c>
      <c r="K381" s="497">
        <f t="shared" ca="1" si="64"/>
        <v>109.58333333333333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IFERROR(__xludf.DUMMYFUNCTION("IMPORTRANGE(""https://docs.google.com/spreadsheets/d/1XWAQStnk-4SwqDmLtmXYiTMKHgktTP8We1SCoS47DrQ/edit?usp=sharing"",""จัดที่ดิน!AM53"")"),4051.62)</f>
        <v>4051.62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IFERROR(__xludf.DUMMYFUNCTION("IMPORTRANGE(""https://docs.google.com/spreadsheets/d/1XWAQStnk-4SwqDmLtmXYiTMKHgktTP8We1SCoS47DrQ/edit?usp=sharing"",""จัดที่ดิน!AP53"")"),25)</f>
        <v>25</v>
      </c>
      <c r="K385" s="502">
        <f ca="1">IF(I385&gt;0,J385*100/I385,0)</f>
        <v>250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IFERROR(__xludf.DUMMYFUNCTION("IMPORTRANGE(""https://docs.google.com/spreadsheets/d/1MeEWN-I1oV_STSDYn1IFDPWt_1FKiwhDph83XaGc0o0/edit?usp=sharing"",""งบพรบ!FG53"")"),0)</f>
        <v>0</v>
      </c>
      <c r="M394" s="92">
        <f ca="1">IFERROR(__xludf.DUMMYFUNCTION("IMPORTRANGE(""https://docs.google.com/spreadsheets/d/1MeEWN-I1oV_STSDYn1IFDPWt_1FKiwhDph83XaGc0o0/edit?usp=sharing"",""งบพรบ!FL53"")"),0)</f>
        <v>0</v>
      </c>
      <c r="N394" s="92">
        <f ca="1">IFERROR(__xludf.DUMMYFUNCTION("IMPORTRANGE(""https://docs.google.com/spreadsheets/d/1MeEWN-I1oV_STSDYn1IFDPWt_1FKiwhDph83XaGc0o0/edit?usp=sharing"",""งบพรบ!FN53"")"),0)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IFERROR(__xludf.DUMMYFUNCTION("IMPORTRANGE(""https://docs.google.com/spreadsheets/d/1MeEWN-I1oV_STSDYn1IFDPWt_1FKiwhDph83XaGc0o0/edit?usp=sharing"",""งบพรบ!FJ53"")"),0)</f>
        <v>0</v>
      </c>
      <c r="M397" s="92">
        <f ca="1">IFERROR(__xludf.DUMMYFUNCTION("IMPORTRANGE(""https://docs.google.com/spreadsheets/d/1MeEWN-I1oV_STSDYn1IFDPWt_1FKiwhDph83XaGc0o0/edit?usp=sharing"",""งบพรบ!FM53"")"),0)</f>
        <v>0</v>
      </c>
      <c r="N397" s="92">
        <f ca="1">IFERROR(__xludf.DUMMYFUNCTION("IMPORTRANGE(""https://docs.google.com/spreadsheets/d/1MeEWN-I1oV_STSDYn1IFDPWt_1FKiwhDph83XaGc0o0/edit?usp=sharing"",""งบพรบ!FO53"")"),0)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IFERROR(__xludf.DUMMYFUNCTION("IMPORTRANGE(""https://docs.google.com/spreadsheets/d/1MeEWN-I1oV_STSDYn1IFDPWt_1FKiwhDph83XaGc0o0/edit?usp=sharing"",""งบพรบ!FQ53"")"),0)</f>
        <v>0</v>
      </c>
      <c r="M407" s="92">
        <f ca="1">IFERROR(__xludf.DUMMYFUNCTION("IMPORTRANGE(""https://docs.google.com/spreadsheets/d/1MeEWN-I1oV_STSDYn1IFDPWt_1FKiwhDph83XaGc0o0/edit?usp=sharing"",""งบพรบ!FV53"")"),0)</f>
        <v>0</v>
      </c>
      <c r="N407" s="92">
        <f ca="1">IFERROR(__xludf.DUMMYFUNCTION("IMPORTRANGE(""https://docs.google.com/spreadsheets/d/1MeEWN-I1oV_STSDYn1IFDPWt_1FKiwhDph83XaGc0o0/edit?usp=sharing"",""งบพรบ!FX53"")"),0)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IFERROR(__xludf.DUMMYFUNCTION("IMPORTRANGE(""https://docs.google.com/spreadsheets/d/1MeEWN-I1oV_STSDYn1IFDPWt_1FKiwhDph83XaGc0o0/edit?usp=sharing"",""งบพรบ!FT53"")"),0)</f>
        <v>0</v>
      </c>
      <c r="M410" s="92">
        <f ca="1">IFERROR(__xludf.DUMMYFUNCTION("IMPORTRANGE(""https://docs.google.com/spreadsheets/d/1MeEWN-I1oV_STSDYn1IFDPWt_1FKiwhDph83XaGc0o0/edit?usp=sharing"",""งบพรบ!FW53"")"),0)</f>
        <v>0</v>
      </c>
      <c r="N410" s="92">
        <f ca="1">IFERROR(__xludf.DUMMYFUNCTION("IMPORTRANGE(""https://docs.google.com/spreadsheets/d/1MeEWN-I1oV_STSDYn1IFDPWt_1FKiwhDph83XaGc0o0/edit?usp=sharing"",""งบพรบ!FY53"")"),0)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3558571</v>
      </c>
      <c r="M414" s="549">
        <f ca="1">M419+M444+M467+M502+M523+M544+M629+M655+M685+M737+M754+M770+M786+M805</f>
        <v>3128235.23</v>
      </c>
      <c r="N414" s="549">
        <f>N419+N444+N467+N502+N523+N544+N629+N655+N685+N737+N754+N770+N786+N805</f>
        <v>3128235.23</v>
      </c>
      <c r="O414" s="549">
        <f ca="1">IF(L414&gt;0,N414*100/L414,0)</f>
        <v>87.907062413536224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100860</v>
      </c>
      <c r="N419" s="154">
        <f>N420+N421</f>
        <v>100860</v>
      </c>
      <c r="O419" s="154">
        <f t="shared" ref="O419:O424" ca="1" si="71">IF(L419&gt;0,N419*100/L419,0)</f>
        <v>128.22273073989322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100860</v>
      </c>
      <c r="N421" s="92">
        <f t="shared" si="73"/>
        <v>100860</v>
      </c>
      <c r="O421" s="92">
        <f t="shared" ca="1" si="71"/>
        <v>128.22273073989322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100860</v>
      </c>
      <c r="N422" s="497">
        <f>N423+N424</f>
        <v>100860</v>
      </c>
      <c r="O422" s="497">
        <f t="shared" ca="1" si="71"/>
        <v>128.22273073989322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IFERROR(__xludf.DUMMYFUNCTION("IMPORTRANGE(""https://docs.google.com/spreadsheets/d/1QqKyyYR6Q21VydFLVH3TRQUabQu_ym0Zz7PgGX0-kHA/edit?usp=sharing"",""แผน!EY53"")"),78660)</f>
        <v>78660</v>
      </c>
      <c r="M424" s="92">
        <f ca="1">L424+22200</f>
        <v>100860</v>
      </c>
      <c r="N424" s="92">
        <f>N425+N426+N427+N428</f>
        <v>100860</v>
      </c>
      <c r="O424" s="92">
        <f t="shared" ca="1" si="71"/>
        <v>128.22273073989322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70600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IFERROR(__xludf.DUMMYFUNCTION("IMPORTRANGE(""https://docs.google.com/spreadsheets/d/1QqKyyYR6Q21VydFLVH3TRQUabQu_ym0Zz7PgGX0-kHA/edit?usp=sharing"",""แผน!FE53"")"),0)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IFERROR(__xludf.DUMMYFUNCTION("IMPORTRANGE(""https://docs.google.com/spreadsheets/d/1QqKyyYR6Q21VydFLVH3TRQUabQu_ym0Zz7PgGX0-kHA/edit?usp=sharing"",""แผน!FG53"")"),1)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IFERROR(__xludf.DUMMYFUNCTION("IMPORTRANGE(""https://docs.google.com/spreadsheets/d/1QqKyyYR6Q21VydFLVH3TRQUabQu_ym0Zz7PgGX0-kHA/edit?usp=sharing"",""แผน!FH53"")"),0)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75</v>
      </c>
      <c r="J442" s="585">
        <f>J460</f>
        <v>75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200</v>
      </c>
      <c r="J443" s="565">
        <f>J462</f>
        <v>200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486400</v>
      </c>
      <c r="M444" s="194">
        <f ca="1">M445+M446</f>
        <v>497457</v>
      </c>
      <c r="N444" s="194">
        <f>N445+N446</f>
        <v>497457</v>
      </c>
      <c r="O444" s="194">
        <f t="shared" ref="O444:O449" ca="1" si="75">IF(L444&gt;0,N444*100/L444,0)</f>
        <v>102.27323190789474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486400</v>
      </c>
      <c r="M446" s="92">
        <f t="shared" ca="1" si="77"/>
        <v>497457</v>
      </c>
      <c r="N446" s="92">
        <f t="shared" si="77"/>
        <v>497457</v>
      </c>
      <c r="O446" s="92">
        <f t="shared" ca="1" si="75"/>
        <v>102.27323190789474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486400</v>
      </c>
      <c r="M447" s="497">
        <f ca="1">M448+M449</f>
        <v>497457</v>
      </c>
      <c r="N447" s="497">
        <f>N448+N449</f>
        <v>497457</v>
      </c>
      <c r="O447" s="497">
        <f t="shared" ca="1" si="75"/>
        <v>102.27323190789474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IFERROR(__xludf.DUMMYFUNCTION("IMPORTRANGE(""https://docs.google.com/spreadsheets/d/1QqKyyYR6Q21VydFLVH3TRQUabQu_ym0Zz7PgGX0-kHA/edit?usp=sharing"",""แผน!FJ53"")"),486400)</f>
        <v>486400</v>
      </c>
      <c r="M449" s="92">
        <f ca="1">L449+11490-433</f>
        <v>497457</v>
      </c>
      <c r="N449" s="92">
        <f>N450+N451+N452+N453</f>
        <v>497457</v>
      </c>
      <c r="O449" s="92">
        <f t="shared" ca="1" si="75"/>
        <v>102.27323190789474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109290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195000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142567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50600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IFERROR(__xludf.DUMMYFUNCTION("IMPORTRANGE(""https://docs.google.com/spreadsheets/d/1QqKyyYR6Q21VydFLVH3TRQUabQu_ym0Zz7PgGX0-kHA/edit?usp=sharing"",""แผน!FN53"")"),75)</f>
        <v>75</v>
      </c>
      <c r="J460" s="214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IFERROR(__xludf.DUMMYFUNCTION("IMPORTRANGE(""https://docs.google.com/spreadsheets/d/1QqKyyYR6Q21VydFLVH3TRQUabQu_ym0Zz7PgGX0-kHA/edit?usp=sharing"",""แผน!FO53"")"),200)</f>
        <v>200</v>
      </c>
      <c r="J462" s="214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IFERROR(__xludf.DUMMYFUNCTION("IMPORTRANGE(""https://docs.google.com/spreadsheets/d/1QqKyyYR6Q21VydFLVH3TRQUabQu_ym0Zz7PgGX0-kHA/edit?usp=sharing"",""แผน!FO53"")"),200)</f>
        <v>200</v>
      </c>
      <c r="J463" s="214">
        <v>200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IFERROR(__xludf.DUMMYFUNCTION("IMPORTRANGE(""https://docs.google.com/spreadsheets/d/1QqKyyYR6Q21VydFLVH3TRQUabQu_ym0Zz7PgGX0-kHA/edit?usp=sharing"",""แผน!FN53"")"),75)</f>
        <v>75</v>
      </c>
      <c r="J464" s="214">
        <v>75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1300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1161548</v>
      </c>
      <c r="M467" s="194">
        <f ca="1">M468+M469</f>
        <v>953538</v>
      </c>
      <c r="N467" s="194">
        <f>N468+N469</f>
        <v>953538</v>
      </c>
      <c r="O467" s="194">
        <f t="shared" ref="O467:O472" ca="1" si="78">IF(L467&gt;0,N467*100/L467,0)</f>
        <v>82.092001363697406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1161548</v>
      </c>
      <c r="M469" s="92">
        <f t="shared" ca="1" si="80"/>
        <v>953538</v>
      </c>
      <c r="N469" s="92">
        <f t="shared" si="80"/>
        <v>953538</v>
      </c>
      <c r="O469" s="92">
        <f t="shared" ca="1" si="78"/>
        <v>82.092001363697406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1161548</v>
      </c>
      <c r="M470" s="497">
        <f ca="1">M471+M472</f>
        <v>953538</v>
      </c>
      <c r="N470" s="497">
        <f>N471+N472</f>
        <v>953538</v>
      </c>
      <c r="O470" s="497">
        <f t="shared" ca="1" si="78"/>
        <v>82.092001363697406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IFERROR(__xludf.DUMMYFUNCTION("IMPORTRANGE(""https://docs.google.com/spreadsheets/d/1QqKyyYR6Q21VydFLVH3TRQUabQu_ym0Zz7PgGX0-kHA/edit?usp=sharing"",""แผน!FS53"")"),1161548)</f>
        <v>1161548</v>
      </c>
      <c r="M472" s="92">
        <f ca="1">L472+5290-213300</f>
        <v>953538</v>
      </c>
      <c r="N472" s="92">
        <f>N473+N474+N475+N476</f>
        <v>953538</v>
      </c>
      <c r="O472" s="92">
        <f t="shared" ca="1" si="78"/>
        <v>82.092001363697406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160543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596700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143000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53295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IFERROR(__xludf.DUMMYFUNCTION("IMPORTRANGE(""https://docs.google.com/spreadsheets/d/1QqKyyYR6Q21VydFLVH3TRQUabQu_ym0Zz7PgGX0-kHA/edit?usp=sharing"",""แผน!FY53"")"),1170)</f>
        <v>1170</v>
      </c>
      <c r="J483" s="214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IFERROR(__xludf.DUMMYFUNCTION("IMPORTRANGE(""https://docs.google.com/spreadsheets/d/1QqKyyYR6Q21VydFLVH3TRQUabQu_ym0Zz7PgGX0-kHA/edit?usp=sharing"",""แผน!FZ53"")"),117)</f>
        <v>117</v>
      </c>
      <c r="J485" s="214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IFERROR(__xludf.DUMMYFUNCTION("IMPORTRANGE(""https://docs.google.com/spreadsheets/d/1QqKyyYR6Q21VydFLVH3TRQUabQu_ym0Zz7PgGX0-kHA/edit?usp=sharing"",""แผน!GA53"")"),130)</f>
        <v>130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IFERROR(__xludf.DUMMYFUNCTION("IMPORTRANGE(""https://docs.google.com/spreadsheets/d/1QqKyyYR6Q21VydFLVH3TRQUabQu_ym0Zz7PgGX0-kHA/edit?usp=sharing"",""แผน!GB53"")"),13)</f>
        <v>13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IFERROR(__xludf.DUMMYFUNCTION("IMPORTRANGE(""https://docs.google.com/spreadsheets/d/1QqKyyYR6Q21VydFLVH3TRQUabQu_ym0Zz7PgGX0-kHA/edit?usp=sharing"",""แผน!GC53"")"),1)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IFERROR(__xludf.DUMMYFUNCTION("IMPORTRANGE(""https://docs.google.com/spreadsheets/d/1QqKyyYR6Q21VydFLVH3TRQUabQu_ym0Zz7PgGX0-kHA/edit?usp=sharing"",""แผน!FY53"")"),1170)</f>
        <v>1170</v>
      </c>
      <c r="J495" s="214">
        <v>1300</v>
      </c>
      <c r="K495" s="497">
        <f ca="1">IF(I495&gt;0,J495*100/I495,0)</f>
        <v>111.11111111111111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IFERROR(__xludf.DUMMYFUNCTION("IMPORTRANGE(""https://docs.google.com/spreadsheets/d/1QqKyyYR6Q21VydFLVH3TRQUabQu_ym0Zz7PgGX0-kHA/edit?usp=sharing"",""แผน!GA53"")"),130)</f>
        <v>130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50</v>
      </c>
      <c r="J522" s="703">
        <f ca="1">J537</f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427460</v>
      </c>
      <c r="M523" s="194">
        <f ca="1">M524+M525</f>
        <v>427460</v>
      </c>
      <c r="N523" s="194">
        <f>N524+N525</f>
        <v>427460</v>
      </c>
      <c r="O523" s="194">
        <f t="shared" ref="O523:O528" ca="1" si="84">IF(L523&gt;0,N523*100/L523,0)</f>
        <v>100</v>
      </c>
      <c r="P523" s="194">
        <f t="shared" ref="P523:P528" ca="1" si="85">IF(M523&gt;0,N523*100/M523,0)</f>
        <v>100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427460</v>
      </c>
      <c r="M525" s="92">
        <f t="shared" ca="1" si="86"/>
        <v>427460</v>
      </c>
      <c r="N525" s="92">
        <f t="shared" si="86"/>
        <v>427460</v>
      </c>
      <c r="O525" s="92">
        <f t="shared" ca="1" si="84"/>
        <v>100</v>
      </c>
      <c r="P525" s="92">
        <f t="shared" ca="1" si="85"/>
        <v>100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427460</v>
      </c>
      <c r="M526" s="497">
        <f ca="1">M527+M528</f>
        <v>427460</v>
      </c>
      <c r="N526" s="497">
        <f>N527+N528</f>
        <v>427460</v>
      </c>
      <c r="O526" s="497">
        <f t="shared" ca="1" si="84"/>
        <v>100</v>
      </c>
      <c r="P526" s="497">
        <f t="shared" ca="1" si="85"/>
        <v>100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IFERROR(__xludf.DUMMYFUNCTION("IMPORTRANGE(""https://docs.google.com/spreadsheets/d/1QqKyyYR6Q21VydFLVH3TRQUabQu_ym0Zz7PgGX0-kHA/edit?usp=sharing"",""แผน!GQ53"")"),427460)</f>
        <v>427460</v>
      </c>
      <c r="M528" s="92">
        <f ca="1">L528</f>
        <v>427460</v>
      </c>
      <c r="N528" s="92">
        <f>N529+N530+N531+N532</f>
        <v>427460</v>
      </c>
      <c r="O528" s="92">
        <f t="shared" ca="1" si="84"/>
        <v>100</v>
      </c>
      <c r="P528" s="92">
        <f t="shared" ca="1" si="85"/>
        <v>100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144700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32760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87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IFERROR(__xludf.DUMMYFUNCTION("IMPORTRANGE(""https://docs.google.com/spreadsheets/d/1QqKyyYR6Q21VydFLVH3TRQUabQu_ym0Zz7PgGX0-kHA/edit?usp=sharing"",""แผน!GV53"")"),50)</f>
        <v>50</v>
      </c>
      <c r="J538" s="214">
        <v>50</v>
      </c>
      <c r="K538" s="497">
        <f t="shared" ca="1" si="87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IFERROR(__xludf.DUMMYFUNCTION("IMPORTRANGE(""https://docs.google.com/spreadsheets/d/1QqKyyYR6Q21VydFLVH3TRQUabQu_ym0Zz7PgGX0-kHA/edit?usp=sharing"",""แผน!GW53"")"),0)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IFERROR(__xludf.DUMMYFUNCTION("IMPORTRANGE(""https://docs.google.com/spreadsheets/d/1QqKyyYR6Q21VydFLVH3TRQUabQu_ym0Zz7PgGX0-kHA/edit?usp=sharing"",""แผน!GX53"")"),0)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IFERROR(__xludf.DUMMYFUNCTION("IMPORTRANGE(""https://docs.google.com/spreadsheets/d/1QqKyyYR6Q21VydFLVH3TRQUabQu_ym0Zz7PgGX0-kHA/edit?usp=sharing"",""แผน!GY53"")"),50)</f>
        <v>50</v>
      </c>
      <c r="J541" s="214">
        <v>50</v>
      </c>
      <c r="K541" s="497">
        <f t="shared" ca="1" si="87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IFERROR(__xludf.DUMMYFUNCTION("IMPORTRANGE(""https://docs.google.com/spreadsheets/d/1QqKyyYR6Q21VydFLVH3TRQUabQu_ym0Zz7PgGX0-kHA/edit?usp=sharing"",""แผน!GZ53"")"),50)</f>
        <v>50</v>
      </c>
      <c r="J542" s="214">
        <v>50</v>
      </c>
      <c r="K542" s="497">
        <f t="shared" ca="1" si="87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62938.35</v>
      </c>
      <c r="J543" s="682">
        <f>J559</f>
        <v>62939.722500000003</v>
      </c>
      <c r="K543" s="683">
        <f t="shared" ca="1" si="87"/>
        <v>100.00218070540458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997503</v>
      </c>
      <c r="M544" s="154">
        <f ca="1">M545+M546</f>
        <v>813920.23</v>
      </c>
      <c r="N544" s="154">
        <f>N545+N546</f>
        <v>813920.23</v>
      </c>
      <c r="O544" s="154">
        <f t="shared" ref="O544:O549" ca="1" si="88">IF(L544&gt;0,N544*100/L544,0)</f>
        <v>81.595767631776539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997503</v>
      </c>
      <c r="M546" s="92">
        <f ca="1">M549+M556</f>
        <v>813920.23</v>
      </c>
      <c r="N546" s="92">
        <f>N549+N556</f>
        <v>813920.23</v>
      </c>
      <c r="O546" s="92">
        <f t="shared" ca="1" si="88"/>
        <v>81.595767631776539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997503</v>
      </c>
      <c r="M547" s="497">
        <f ca="1">M548+M549</f>
        <v>813920.23</v>
      </c>
      <c r="N547" s="497">
        <f>N548+N549</f>
        <v>813920.23</v>
      </c>
      <c r="O547" s="497">
        <f t="shared" ca="1" si="88"/>
        <v>81.595767631776539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IFERROR(__xludf.DUMMYFUNCTION("IMPORTRANGE(""https://docs.google.com/spreadsheets/d/1QqKyyYR6Q21VydFLVH3TRQUabQu_ym0Zz7PgGX0-kHA/edit?usp=sharing"",""แผน!HB53"")"),997503)</f>
        <v>997503</v>
      </c>
      <c r="M549" s="92">
        <f ca="1">L549-183582.77</f>
        <v>813920.23</v>
      </c>
      <c r="N549" s="92">
        <f>N550+N551+N552+N553+N554</f>
        <v>813920.23</v>
      </c>
      <c r="O549" s="92">
        <f t="shared" ca="1" si="88"/>
        <v>81.595767631776539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143000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670920.23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62938.35</v>
      </c>
      <c r="J559" s="703">
        <f>J576</f>
        <v>62939.722500000003</v>
      </c>
      <c r="K559" s="672">
        <f ca="1">IF(I559&gt;0,J559*100/I559,0)</f>
        <v>100.00218070540458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IFERROR(__xludf.DUMMYFUNCTION("IMPORTRANGE(""https://docs.google.com/spreadsheets/d/1QqKyyYR6Q21VydFLVH3TRQUabQu_ym0Zz7PgGX0-kHA/edit?usp=sharing"",""แผน!HH53"")"),62938.35)</f>
        <v>62938.35</v>
      </c>
      <c r="J560" s="192">
        <f>J562+J564+J566</f>
        <v>62937.732499999998</v>
      </c>
      <c r="K560" s="410">
        <f ca="1">IF(I560&gt;0,J560*100/I560,0)</f>
        <v>99.99901888117499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IFERROR(__xludf.DUMMYFUNCTION("IMPORTRANGE(""https://docs.google.com/spreadsheets/d/1QqKyyYR6Q21VydFLVH3TRQUabQu_ym0Zz7PgGX0-kHA/edit?usp=sharing"",""แผน!HG53"")"),4165)</f>
        <v>4165</v>
      </c>
      <c r="J561" s="192">
        <f>J563+J565+J567</f>
        <v>4165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43021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3038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15782.717500000001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858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4134.0150000000003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269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IFERROR(__xludf.DUMMYFUNCTION("IMPORTRANGE(""https://docs.google.com/spreadsheets/d/1QqKyyYR6Q21VydFLVH3TRQUabQu_ym0Zz7PgGX0-kHA/edit?usp=sharing"",""แผน!HH53"")"),62938.35)</f>
        <v>62938.35</v>
      </c>
      <c r="J568" s="676">
        <f>J570+J572+J574</f>
        <v>62938</v>
      </c>
      <c r="K568" s="410">
        <f ca="1">IF(I568&gt;0,J568*100/I568,0)</f>
        <v>99.999443900261127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IFERROR(__xludf.DUMMYFUNCTION("IMPORTRANGE(""https://docs.google.com/spreadsheets/d/1QqKyyYR6Q21VydFLVH3TRQUabQu_ym0Zz7PgGX0-kHA/edit?usp=sharing"",""แผน!HG53"")"),4165)</f>
        <v>4165</v>
      </c>
      <c r="J569" s="676">
        <f>J571+J573+J575</f>
        <v>4165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43021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3038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15783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858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4134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269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IFERROR(__xludf.DUMMYFUNCTION("IMPORTRANGE(""https://docs.google.com/spreadsheets/d/1QqKyyYR6Q21VydFLVH3TRQUabQu_ym0Zz7PgGX0-kHA/edit?usp=sharing"",""แผน!HH53"")"),62938.35)</f>
        <v>62938.35</v>
      </c>
      <c r="J576" s="676">
        <f>J578+J580+J582+J588+J590</f>
        <v>62939.722500000003</v>
      </c>
      <c r="K576" s="410">
        <f ca="1">IF(I576&gt;0,J576*100/I576,0)</f>
        <v>100.00218070540458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IFERROR(__xludf.DUMMYFUNCTION("IMPORTRANGE(""https://docs.google.com/spreadsheets/d/1QqKyyYR6Q21VydFLVH3TRQUabQu_ym0Zz7PgGX0-kHA/edit?usp=sharing"",""แผน!HG53"")"),4165)</f>
        <v>4165</v>
      </c>
      <c r="J577" s="676">
        <f>J579+J581+J583+J589+J591</f>
        <v>4165</v>
      </c>
      <c r="K577" s="410">
        <f ca="1">IF(I577&gt;0,J577*100/I577,0)</f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58438.907500000001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3865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4500.8150000000005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300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4489.7475000000004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298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11.067500000000001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2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36174.33</v>
      </c>
      <c r="J592" s="703">
        <f>J593</f>
        <v>36005.9925</v>
      </c>
      <c r="K592" s="672">
        <f ca="1">IF(I592&gt;0,J592*100/I592,0)</f>
        <v>99.534649294126524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2">
        <f>J595+J603+J609</f>
        <v>36005.9925</v>
      </c>
      <c r="K593" s="410">
        <f ca="1">IF(I593&gt;0,J593*100/I593,0)</f>
        <v>99.534649294126524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IFERROR(__xludf.DUMMYFUNCTION("IMPORTRANGE(""https://docs.google.com/spreadsheets/d/1QqKyyYR6Q21VydFLVH3TRQUabQu_ym0Zz7PgGX0-kHA/edit?usp=sharing"",""แผน!HI53"")"),2161)</f>
        <v>2161</v>
      </c>
      <c r="J594" s="192">
        <f>J596+J604+J610</f>
        <v>2146</v>
      </c>
      <c r="K594" s="410">
        <f ca="1">IF(I594&gt;0,J594*100/I594,0)</f>
        <v>99.305876908838499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34524.8125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2075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16587.174999999999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954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17937.637500000001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1121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1481.18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71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1481.18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71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>J622+J624+J626</f>
        <v>666</v>
      </c>
      <c r="K620" s="724">
        <f ca="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>J623+J625+J627</f>
        <v>26</v>
      </c>
      <c r="K621" s="724">
        <f ca="1">IF(I621&gt;0,J621*100/I621,0)</f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353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11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313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15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40</v>
      </c>
      <c r="J628" s="736">
        <f ca="1">J651</f>
        <v>17</v>
      </c>
      <c r="K628" s="737">
        <f ca="1">IF(I628&gt;0,J628*100/I628,0)</f>
        <v>42.5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380400</v>
      </c>
      <c r="M629" s="194">
        <f ca="1">M630+M631</f>
        <v>320400</v>
      </c>
      <c r="N629" s="194">
        <f>N630+N631</f>
        <v>320400</v>
      </c>
      <c r="O629" s="194">
        <f t="shared" ref="O629:O634" ca="1" si="90">IF(L629&gt;0,N629*100/L629,0)</f>
        <v>84.227129337539438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380400</v>
      </c>
      <c r="M631" s="92">
        <f t="shared" ca="1" si="92"/>
        <v>320400</v>
      </c>
      <c r="N631" s="92">
        <f t="shared" si="92"/>
        <v>320400</v>
      </c>
      <c r="O631" s="92">
        <f t="shared" ca="1" si="90"/>
        <v>84.227129337539438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380400</v>
      </c>
      <c r="M632" s="497">
        <f ca="1">M633+M634</f>
        <v>320400</v>
      </c>
      <c r="N632" s="497">
        <f>N633+N634</f>
        <v>320400</v>
      </c>
      <c r="O632" s="497">
        <f t="shared" ca="1" si="90"/>
        <v>84.227129337539438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IFERROR(__xludf.DUMMYFUNCTION("IMPORTRANGE(""https://docs.google.com/spreadsheets/d/1QqKyyYR6Q21VydFLVH3TRQUabQu_ym0Zz7PgGX0-kHA/edit?usp=sharing"",""แผน!HN53"")"),380400)</f>
        <v>380400</v>
      </c>
      <c r="M634" s="92">
        <f ca="1">L634-60000</f>
        <v>320400</v>
      </c>
      <c r="N634" s="92">
        <f>N635+N636+N637+N638</f>
        <v>320400</v>
      </c>
      <c r="O634" s="92">
        <f t="shared" ca="1" si="90"/>
        <v>84.227129337539438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142134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178266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IFERROR(__xludf.DUMMYFUNCTION("IMPORTRANGE(""https://docs.google.com/spreadsheets/d/1QqKyyYR6Q21VydFLVH3TRQUabQu_ym0Zz7PgGX0-kHA/edit?usp=sharing"",""แผน!HR53"")"),1)</f>
        <v>1</v>
      </c>
      <c r="J643" s="214">
        <v>2</v>
      </c>
      <c r="K643" s="162">
        <f t="shared" ref="K643:K652" ca="1" si="93">IF(I643&gt;0,J643*100/I643,0)</f>
        <v>200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IFERROR(__xludf.DUMMYFUNCTION("IMPORTRANGE(""https://docs.google.com/spreadsheets/d/1QqKyyYR6Q21VydFLVH3TRQUabQu_ym0Zz7PgGX0-kHA/edit?usp=sharing"",""แผน!HR53"")"),1)</f>
        <v>1</v>
      </c>
      <c r="J644" s="214">
        <v>1</v>
      </c>
      <c r="K644" s="162">
        <f t="shared" ca="1" si="93"/>
        <v>100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IFERROR(__xludf.DUMMYFUNCTION("IMPORTRANGE(""https://docs.google.com/spreadsheets/d/1XWAQStnk-4SwqDmLtmXYiTMKHgktTP8We1SCoS47DrQ/edit?usp=sharing"",""จัดที่ดิน!AS53"")"),82)</f>
        <v>82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IFERROR(__xludf.DUMMYFUNCTION("IMPORTRANGE(""https://docs.google.com/spreadsheets/d/1XWAQStnk-4SwqDmLtmXYiTMKHgktTP8We1SCoS47DrQ/edit?usp=sharing"",""จัดที่ดิน!AT53"")"),103)</f>
        <v>103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IFERROR(__xludf.DUMMYFUNCTION("IMPORTRANGE(""https://docs.google.com/spreadsheets/d/1QqKyyYR6Q21VydFLVH3TRQUabQu_ym0Zz7PgGX0-kHA/edit?usp=sharing"",""แผน!HS53"")"),40)</f>
        <v>40</v>
      </c>
      <c r="J647" s="269">
        <f ca="1">IFERROR(__xludf.DUMMYFUNCTION("IMPORTRANGE(""https://docs.google.com/spreadsheets/d/1XWAQStnk-4SwqDmLtmXYiTMKHgktTP8We1SCoS47DrQ/edit?usp=sharing"",""จัดที่ดิน!AU53"")"),8)</f>
        <v>8</v>
      </c>
      <c r="K647" s="162">
        <f t="shared" ca="1" si="93"/>
        <v>20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IFERROR(__xludf.DUMMYFUNCTION("IMPORTRANGE(""https://docs.google.com/spreadsheets/d/1XWAQStnk-4SwqDmLtmXYiTMKHgktTP8We1SCoS47DrQ/edit?usp=sharing"",""จัดที่ดิน!AV53"")"),4.17)</f>
        <v>4.17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IFERROR(__xludf.DUMMYFUNCTION("IMPORTRANGE(""https://docs.google.com/spreadsheets/d/1QqKyyYR6Q21VydFLVH3TRQUabQu_ym0Zz7PgGX0-kHA/edit?usp=sharing"",""แผน!HS53"")"),40)</f>
        <v>40</v>
      </c>
      <c r="J649" s="269">
        <f ca="1">IFERROR(__xludf.DUMMYFUNCTION("IMPORTRANGE(""https://docs.google.com/spreadsheets/d/1XWAQStnk-4SwqDmLtmXYiTMKHgktTP8We1SCoS47DrQ/edit?usp=sharing"",""จัดที่ดิน!AW53"")"),18)</f>
        <v>18</v>
      </c>
      <c r="K649" s="162">
        <f t="shared" ca="1" si="93"/>
        <v>45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IFERROR(__xludf.DUMMYFUNCTION("IMPORTRANGE(""https://docs.google.com/spreadsheets/d/1XWAQStnk-4SwqDmLtmXYiTMKHgktTP8We1SCoS47DrQ/edit?usp=sharing"",""จัดที่ดิน!AX53"")"),8.47)</f>
        <v>8.4700000000000006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IFERROR(__xludf.DUMMYFUNCTION("IMPORTRANGE(""https://docs.google.com/spreadsheets/d/1QqKyyYR6Q21VydFLVH3TRQUabQu_ym0Zz7PgGX0-kHA/edit?usp=sharing"",""แผน!HS53"")"),40)</f>
        <v>40</v>
      </c>
      <c r="J651" s="269">
        <f ca="1">IFERROR(__xludf.DUMMYFUNCTION("IMPORTRANGE(""https://docs.google.com/spreadsheets/d/1XWAQStnk-4SwqDmLtmXYiTMKHgktTP8We1SCoS47DrQ/edit?usp=sharing"",""จัดที่ดิน!AY53"")"),17)</f>
        <v>17</v>
      </c>
      <c r="K651" s="162">
        <f t="shared" ca="1" si="93"/>
        <v>42.5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IFERROR(__xludf.DUMMYFUNCTION("IMPORTRANGE(""https://docs.google.com/spreadsheets/d/1XWAQStnk-4SwqDmLtmXYiTMKHgktTP8We1SCoS47DrQ/edit?usp=sharing"",""จัดที่ดิน!AZ53"")"),8.1225)</f>
        <v>8.1225000000000005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200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20000</v>
      </c>
      <c r="M655" s="194">
        <f ca="1">M656+M657</f>
        <v>8000</v>
      </c>
      <c r="N655" s="194">
        <f>N656+N657</f>
        <v>8000</v>
      </c>
      <c r="O655" s="194">
        <f t="shared" ref="O655:O660" ca="1" si="94">IF(L655&gt;0,N655*100/L655,0)</f>
        <v>40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20000</v>
      </c>
      <c r="M657" s="92">
        <f t="shared" ca="1" si="96"/>
        <v>8000</v>
      </c>
      <c r="N657" s="92">
        <f t="shared" si="96"/>
        <v>8000</v>
      </c>
      <c r="O657" s="92">
        <f t="shared" ca="1" si="94"/>
        <v>40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20000</v>
      </c>
      <c r="M658" s="497">
        <f ca="1">M659+M660</f>
        <v>8000</v>
      </c>
      <c r="N658" s="497">
        <f>N659+N660</f>
        <v>8000</v>
      </c>
      <c r="O658" s="497">
        <f t="shared" ca="1" si="94"/>
        <v>40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IFERROR(__xludf.DUMMYFUNCTION("IMPORTRANGE(""https://docs.google.com/spreadsheets/d/1QqKyyYR6Q21VydFLVH3TRQUabQu_ym0Zz7PgGX0-kHA/edit?usp=sharing"",""แผน!HV53"")"),20000)</f>
        <v>20000</v>
      </c>
      <c r="M660" s="92">
        <f ca="1">L660-12000</f>
        <v>8000</v>
      </c>
      <c r="N660" s="92">
        <f>N661+N662+N663+N664</f>
        <v>8000</v>
      </c>
      <c r="O660" s="92">
        <f t="shared" ca="1" si="94"/>
        <v>40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8000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IFERROR(__xludf.DUMMYFUNCTION("IMPORTRANGE(""https://docs.google.com/spreadsheets/d/1QqKyyYR6Q21VydFLVH3TRQUabQu_ym0Zz7PgGX0-kHA/edit?usp=sharing"",""แผน!HZ53"")"),5)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IFERROR(__xludf.DUMMYFUNCTION("IMPORTRANGE(""https://docs.google.com/spreadsheets/d/1QqKyyYR6Q21VydFLVH3TRQUabQu_ym0Zz7PgGX0-kHA/edit?usp=sharing"",""แผน!HZ53"")"),5)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6600</v>
      </c>
      <c r="M685" s="194">
        <f ca="1">M686+M687</f>
        <v>6600</v>
      </c>
      <c r="N685" s="194">
        <f>N686+N687</f>
        <v>6600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6600</v>
      </c>
      <c r="M687" s="92">
        <f t="shared" ca="1" si="97"/>
        <v>6600</v>
      </c>
      <c r="N687" s="92">
        <f t="shared" si="97"/>
        <v>6600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6600</v>
      </c>
      <c r="M688" s="497">
        <f ca="1">M689+M690</f>
        <v>6600</v>
      </c>
      <c r="N688" s="497">
        <f>N689+N690</f>
        <v>6600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IFERROR(__xludf.DUMMYFUNCTION("IMPORTRANGE(""https://docs.google.com/spreadsheets/d/1QqKyyYR6Q21VydFLVH3TRQUabQu_ym0Zz7PgGX0-kHA/edit?usp=sharing"",""แผน!HW53"")"),6600)</f>
        <v>6600</v>
      </c>
      <c r="M690" s="92">
        <f ca="1">L690</f>
        <v>6600</v>
      </c>
      <c r="N690" s="92">
        <f>N691+N692+N693+N694</f>
        <v>6600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6600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69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69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69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69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69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69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69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50</v>
      </c>
      <c r="K729" s="194">
        <f ca="1">IF(I729&gt;0,J729*100/I729,0)</f>
        <v>100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5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50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IFERROR(__xludf.DUMMYFUNCTION("IMPORTRANGE(""https://docs.google.com/spreadsheets/d/1QqKyyYR6Q21VydFLVH3TRQUabQu_ym0Zz7PgGX0-kHA/edit?usp=sharing"",""แผน!JJ53"")"),0)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IFERROR(__xludf.DUMMYFUNCTION("IMPORTRANGE(""https://docs.google.com/spreadsheets/d/1QqKyyYR6Q21VydFLVH3TRQUabQu_ym0Zz7PgGX0-kHA/edit?usp=sharing"",""แผน!JN53"")"),0)</f>
        <v>0</v>
      </c>
      <c r="J800" s="183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40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IFERROR(__xludf.DUMMYFUNCTION("IMPORTRANGE(""https://docs.google.com/spreadsheets/d/19vJNZY_5yjcGF2XGBMNZRCAIB0Kwfpjp8YEOfu-bneM/edit?usp=sharing"",""งานกองทุน!D53"")"),1682599.73)</f>
        <v>1682599.73</v>
      </c>
      <c r="J821" s="269">
        <f ca="1">IFERROR(__xludf.DUMMYFUNCTION("IMPORTRANGE(""https://docs.google.com/spreadsheets/d/19vJNZY_5yjcGF2XGBMNZRCAIB0Kwfpjp8YEOfu-bneM/edit?usp=sharing"",""งานกองทุน!F53"")"),1376467.58)</f>
        <v>1376467.58</v>
      </c>
      <c r="K821" s="497">
        <f t="shared" ref="K821:K828" ca="1" si="113">IF(I821&gt;0,J821*100/I821,0)</f>
        <v>81.806002667075191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IFERROR(__xludf.DUMMYFUNCTION("IMPORTRANGE(""https://docs.google.com/spreadsheets/d/19vJNZY_5yjcGF2XGBMNZRCAIB0Kwfpjp8YEOfu-bneM/edit?usp=sharing"",""งานกองทุน!C53"")"),57)</f>
        <v>57</v>
      </c>
      <c r="J822" s="269">
        <f ca="1">IFERROR(__xludf.DUMMYFUNCTION("IMPORTRANGE(""https://docs.google.com/spreadsheets/d/19vJNZY_5yjcGF2XGBMNZRCAIB0Kwfpjp8YEOfu-bneM/edit?usp=sharing"",""งานกองทุน!E53"")"),47)</f>
        <v>47</v>
      </c>
      <c r="K822" s="497">
        <f t="shared" ca="1" si="113"/>
        <v>82.456140350877192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69">
        <f ca="1">IFERROR(__xludf.DUMMYFUNCTION("IMPORTRANGE(""https://docs.google.com/spreadsheets/d/19vJNZY_5yjcGF2XGBMNZRCAIB0Kwfpjp8YEOfu-bneM/edit?usp=sharing"",""งานกองทุน!K53"")"),1235986.06)</f>
        <v>1235986.06</v>
      </c>
      <c r="K823" s="497">
        <f t="shared" ca="1" si="113"/>
        <v>6.3250415764998413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IFERROR(__xludf.DUMMYFUNCTION("IMPORTRANGE(""https://docs.google.com/spreadsheets/d/19vJNZY_5yjcGF2XGBMNZRCAIB0Kwfpjp8YEOfu-bneM/edit?usp=sharing"",""งานกองทุน!H53"")"),669)</f>
        <v>669</v>
      </c>
      <c r="J824" s="269">
        <f ca="1">IFERROR(__xludf.DUMMYFUNCTION("IMPORTRANGE(""https://docs.google.com/spreadsheets/d/19vJNZY_5yjcGF2XGBMNZRCAIB0Kwfpjp8YEOfu-bneM/edit?usp=sharing"",""งานกองทุน!J53"")"),113)</f>
        <v>113</v>
      </c>
      <c r="K824" s="497">
        <f t="shared" ca="1" si="113"/>
        <v>16.890881913303438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69">
        <f ca="1">IFERROR(__xludf.DUMMYFUNCTION("IMPORTRANGE(""https://docs.google.com/spreadsheets/d/19vJNZY_5yjcGF2XGBMNZRCAIB0Kwfpjp8YEOfu-bneM/edit?usp=sharing"",""งานกองทุน!P53"")"),181513.14)</f>
        <v>181513.14</v>
      </c>
      <c r="K825" s="497">
        <f t="shared" ca="1" si="113"/>
        <v>26.088533156168367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IFERROR(__xludf.DUMMYFUNCTION("IMPORTRANGE(""https://docs.google.com/spreadsheets/d/19vJNZY_5yjcGF2XGBMNZRCAIB0Kwfpjp8YEOfu-bneM/edit?usp=sharing"",""งานกองทุน!M53"")"),214)</f>
        <v>214</v>
      </c>
      <c r="J826" s="269">
        <f ca="1">IFERROR(__xludf.DUMMYFUNCTION("IMPORTRANGE(""https://docs.google.com/spreadsheets/d/19vJNZY_5yjcGF2XGBMNZRCAIB0Kwfpjp8YEOfu-bneM/edit?usp=sharing"",""งานกองทุน!O53"")"),61)</f>
        <v>61</v>
      </c>
      <c r="K826" s="497">
        <f t="shared" ca="1" si="113"/>
        <v>28.504672897196262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IFERROR(__xludf.DUMMYFUNCTION("IMPORTRANGE(""https://docs.google.com/spreadsheets/d/19vJNZY_5yjcGF2XGBMNZRCAIB0Kwfpjp8YEOfu-bneM/edit?usp=sharing"",""งานกองทุน!S53"")"),4050000)</f>
        <v>4050000</v>
      </c>
      <c r="J827" s="269">
        <f ca="1">IFERROR(__xludf.DUMMYFUNCTION("IMPORTRANGE(""https://docs.google.com/spreadsheets/d/19vJNZY_5yjcGF2XGBMNZRCAIB0Kwfpjp8YEOfu-bneM/edit?usp=sharing"",""งานกองทุน!U53"")"),4500000)</f>
        <v>4500000</v>
      </c>
      <c r="K827" s="497">
        <f t="shared" ca="1" si="113"/>
        <v>111.11111111111111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IFERROR(__xludf.DUMMYFUNCTION("IMPORTRANGE(""https://docs.google.com/spreadsheets/d/19vJNZY_5yjcGF2XGBMNZRCAIB0Kwfpjp8YEOfu-bneM/edit?usp=sharing"",""งานกองทุน!T53"")"),90)</f>
        <v>90</v>
      </c>
      <c r="K828" s="502">
        <f t="shared" ca="1" si="113"/>
        <v>55.555555555555557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6D324-EA46-4684-A891-56E5A89A9175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710937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361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2152025</v>
      </c>
      <c r="M8" s="21">
        <f ca="1">M9+M10</f>
        <v>2135698.7800000003</v>
      </c>
      <c r="N8" s="21">
        <f ca="1">N9+N10</f>
        <v>2135698.7800000003</v>
      </c>
      <c r="O8" s="21">
        <f t="shared" ref="O8:O16" ca="1" si="0">IF(L8&gt;0,N8*100/L8,0)</f>
        <v>99.241355467524784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2152025</v>
      </c>
      <c r="M10" s="29">
        <f t="shared" ca="1" si="2"/>
        <v>2135698.7800000003</v>
      </c>
      <c r="N10" s="29">
        <f t="shared" ca="1" si="2"/>
        <v>2135698.7800000003</v>
      </c>
      <c r="O10" s="29">
        <f t="shared" ca="1" si="0"/>
        <v>99.241355467524784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2099225</v>
      </c>
      <c r="M11" s="497">
        <f ca="1">M12+M13</f>
        <v>2083658.78</v>
      </c>
      <c r="N11" s="497">
        <f ca="1">N12+N13</f>
        <v>2083658.78</v>
      </c>
      <c r="O11" s="497">
        <f t="shared" ca="1" si="0"/>
        <v>99.258477771558546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2099225</v>
      </c>
      <c r="M13" s="92">
        <f t="shared" ca="1" si="3"/>
        <v>2083658.78</v>
      </c>
      <c r="N13" s="92">
        <f t="shared" ca="1" si="3"/>
        <v>2083658.78</v>
      </c>
      <c r="O13" s="92">
        <f t="shared" ca="1" si="0"/>
        <v>99.258477771558546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52800</v>
      </c>
      <c r="M14" s="497">
        <f ca="1">M15+M16</f>
        <v>52040</v>
      </c>
      <c r="N14" s="497">
        <f ca="1">N15+N16</f>
        <v>52040</v>
      </c>
      <c r="O14" s="497">
        <f t="shared" ca="1" si="0"/>
        <v>98.560606060606062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52800</v>
      </c>
      <c r="M16" s="51">
        <f t="shared" ca="1" si="4"/>
        <v>52040</v>
      </c>
      <c r="N16" s="51">
        <f t="shared" ca="1" si="4"/>
        <v>52040</v>
      </c>
      <c r="O16" s="51">
        <f t="shared" ca="1" si="0"/>
        <v>98.560606060606062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2008525</v>
      </c>
      <c r="M18" s="21">
        <f ca="1">M19+M20</f>
        <v>2041097.78</v>
      </c>
      <c r="N18" s="21">
        <f ca="1">N19+N20</f>
        <v>2041097.78</v>
      </c>
      <c r="O18" s="21">
        <f t="shared" ref="O18:O26" ca="1" si="5">IF(L18&gt;0,N18*100/L18,0)</f>
        <v>101.62172639125727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2008525</v>
      </c>
      <c r="M20" s="29">
        <f t="shared" ca="1" si="7"/>
        <v>2041097.78</v>
      </c>
      <c r="N20" s="29">
        <f t="shared" ca="1" si="7"/>
        <v>2041097.78</v>
      </c>
      <c r="O20" s="29">
        <f t="shared" ca="1" si="5"/>
        <v>101.62172639125727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1955725</v>
      </c>
      <c r="M21" s="497">
        <f ca="1">M22+M23</f>
        <v>1989057.78</v>
      </c>
      <c r="N21" s="497">
        <f ca="1">N22+N23</f>
        <v>1989057.78</v>
      </c>
      <c r="O21" s="497">
        <f t="shared" ca="1" si="5"/>
        <v>101.7043694793491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1955725</v>
      </c>
      <c r="M23" s="92">
        <f t="shared" ca="1" si="8"/>
        <v>1989057.78</v>
      </c>
      <c r="N23" s="92">
        <f t="shared" ca="1" si="8"/>
        <v>1989057.78</v>
      </c>
      <c r="O23" s="92">
        <f t="shared" ca="1" si="5"/>
        <v>101.7043694793491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52800</v>
      </c>
      <c r="M24" s="497">
        <f ca="1">M25+M26</f>
        <v>52040</v>
      </c>
      <c r="N24" s="497">
        <f ca="1">N25+N26</f>
        <v>52040</v>
      </c>
      <c r="O24" s="497">
        <f t="shared" ca="1" si="5"/>
        <v>98.560606060606062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52800</v>
      </c>
      <c r="M26" s="51">
        <f t="shared" ca="1" si="9"/>
        <v>52040</v>
      </c>
      <c r="N26" s="51">
        <f t="shared" ca="1" si="9"/>
        <v>52040</v>
      </c>
      <c r="O26" s="51">
        <f t="shared" ca="1" si="5"/>
        <v>98.560606060606062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143500</v>
      </c>
      <c r="M28" s="21">
        <f ca="1">M29+M30</f>
        <v>94601</v>
      </c>
      <c r="N28" s="21">
        <f>N29+N30</f>
        <v>94601</v>
      </c>
      <c r="O28" s="21">
        <f t="shared" ref="O28:O37" ca="1" si="10">IF(L28&gt;0,N28*100/L28,0)</f>
        <v>65.924041811846692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143500</v>
      </c>
      <c r="M30" s="29">
        <f t="shared" ca="1" si="12"/>
        <v>94601</v>
      </c>
      <c r="N30" s="29">
        <f t="shared" si="12"/>
        <v>94601</v>
      </c>
      <c r="O30" s="29">
        <f t="shared" ca="1" si="10"/>
        <v>65.924041811846692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143500</v>
      </c>
      <c r="M31" s="497">
        <f ca="1">M32+M33</f>
        <v>94601</v>
      </c>
      <c r="N31" s="497">
        <f>N32+N33</f>
        <v>94601</v>
      </c>
      <c r="O31" s="497">
        <f t="shared" ca="1" si="10"/>
        <v>65.924041811846692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143500</v>
      </c>
      <c r="M33" s="92">
        <f t="shared" ca="1" si="13"/>
        <v>94601</v>
      </c>
      <c r="N33" s="92">
        <f t="shared" si="13"/>
        <v>94601</v>
      </c>
      <c r="O33" s="92">
        <f t="shared" ca="1" si="10"/>
        <v>65.924041811846692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2008525</v>
      </c>
      <c r="M37" s="58">
        <f ca="1">M41+M53+M66+M88+M119+M132+M149+M165+M181+M261+M277+M298+M315+M328+M345+M389+M402</f>
        <v>2041097.78</v>
      </c>
      <c r="N37" s="58">
        <f ca="1">N41+N53+N66+N88+N119+N132+N149+N165+N181+N261+N277+N298+N315+N328+N345+N389+N402</f>
        <v>2041097.78</v>
      </c>
      <c r="O37" s="58">
        <f t="shared" ca="1" si="10"/>
        <v>101.62172639125727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302700</v>
      </c>
      <c r="M41" s="84">
        <f ca="1">M42+M43</f>
        <v>325390</v>
      </c>
      <c r="N41" s="84">
        <f ca="1">N42+N43</f>
        <v>325390</v>
      </c>
      <c r="O41" s="84">
        <f t="shared" ref="O41:O49" ca="1" si="15">IF(L41&gt;0,N41*100/L41,0)</f>
        <v>107.49587049884374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302700</v>
      </c>
      <c r="M43" s="91">
        <f t="shared" ca="1" si="17"/>
        <v>325390</v>
      </c>
      <c r="N43" s="91">
        <f t="shared" ca="1" si="17"/>
        <v>325390</v>
      </c>
      <c r="O43" s="91">
        <f t="shared" ca="1" si="15"/>
        <v>107.49587049884374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302700</v>
      </c>
      <c r="M44" s="497">
        <f ca="1">M45+M46</f>
        <v>325390</v>
      </c>
      <c r="N44" s="497">
        <f ca="1">N45+N46</f>
        <v>325390</v>
      </c>
      <c r="O44" s="497">
        <f t="shared" ca="1" si="15"/>
        <v>107.49587049884374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IFERROR(__xludf.DUMMYFUNCTION("IMPORTRANGE(""https://docs.google.com/spreadsheets/d/1MeEWN-I1oV_STSDYn1IFDPWt_1FKiwhDph83XaGc0o0/edit?usp=sharing"",""งบพรบ!M71"")"),302700)</f>
        <v>302700</v>
      </c>
      <c r="M46" s="92">
        <f ca="1">IFERROR(__xludf.DUMMYFUNCTION("IMPORTRANGE(""https://docs.google.com/spreadsheets/d/1MeEWN-I1oV_STSDYn1IFDPWt_1FKiwhDph83XaGc0o0/edit?usp=sharing"",""งบพรบ!R71"")"),325390)</f>
        <v>325390</v>
      </c>
      <c r="N46" s="92">
        <f ca="1">IFERROR(__xludf.DUMMYFUNCTION("IMPORTRANGE(""https://docs.google.com/spreadsheets/d/1MeEWN-I1oV_STSDYn1IFDPWt_1FKiwhDph83XaGc0o0/edit?usp=sharing"",""งบพรบ!T71"")"),325390)</f>
        <v>325390</v>
      </c>
      <c r="O46" s="92">
        <f t="shared" ca="1" si="15"/>
        <v>107.49587049884374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IFERROR(__xludf.DUMMYFUNCTION("IMPORTRANGE(""https://docs.google.com/spreadsheets/d/1MeEWN-I1oV_STSDYn1IFDPWt_1FKiwhDph83XaGc0o0/edit?usp=sharing"",""งบพรบ!P71"")"),0)</f>
        <v>0</v>
      </c>
      <c r="M49" s="51">
        <f ca="1">IFERROR(__xludf.DUMMYFUNCTION("IMPORTRANGE(""https://docs.google.com/spreadsheets/d/1MeEWN-I1oV_STSDYn1IFDPWt_1FKiwhDph83XaGc0o0/edit?usp=sharing"",""งบพรบ!S71"")"),0)</f>
        <v>0</v>
      </c>
      <c r="N49" s="51">
        <f ca="1">IFERROR(__xludf.DUMMYFUNCTION("IMPORTRANGE(""https://docs.google.com/spreadsheets/d/1MeEWN-I1oV_STSDYn1IFDPWt_1FKiwhDph83XaGc0o0/edit?usp=sharing"",""งบพรบ!U71"")"),0)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887900</v>
      </c>
      <c r="M53" s="115">
        <f ca="1">M54+M55</f>
        <v>853672.78</v>
      </c>
      <c r="N53" s="115">
        <f ca="1">N54+N55</f>
        <v>853672.78</v>
      </c>
      <c r="O53" s="115">
        <f t="shared" ref="O53:O61" ca="1" si="18">IF(L53&gt;0,N53*100/L53,0)</f>
        <v>96.145149228516729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887900</v>
      </c>
      <c r="M55" s="122">
        <f t="shared" ca="1" si="20"/>
        <v>853672.78</v>
      </c>
      <c r="N55" s="122">
        <f t="shared" ca="1" si="20"/>
        <v>853672.78</v>
      </c>
      <c r="O55" s="122">
        <f t="shared" ca="1" si="18"/>
        <v>96.145149228516729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887900</v>
      </c>
      <c r="M56" s="497">
        <f ca="1">M57+M58</f>
        <v>853672.78</v>
      </c>
      <c r="N56" s="497">
        <f ca="1">N57+N58</f>
        <v>853672.78</v>
      </c>
      <c r="O56" s="497">
        <f t="shared" ca="1" si="18"/>
        <v>96.145149228516729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IFERROR(__xludf.DUMMYFUNCTION("IMPORTRANGE(""https://docs.google.com/spreadsheets/d/1MeEWN-I1oV_STSDYn1IFDPWt_1FKiwhDph83XaGc0o0/edit?usp=sharing"",""งบพรบ!W71"")"),887900)</f>
        <v>887900</v>
      </c>
      <c r="M58" s="92">
        <f ca="1">IFERROR(__xludf.DUMMYFUNCTION("IMPORTRANGE(""https://docs.google.com/spreadsheets/d/1MeEWN-I1oV_STSDYn1IFDPWt_1FKiwhDph83XaGc0o0/edit?usp=sharing"",""งบพรบ!AB71"")"),853672.78)</f>
        <v>853672.78</v>
      </c>
      <c r="N58" s="92">
        <f ca="1">IFERROR(__xludf.DUMMYFUNCTION("IMPORTRANGE(""https://docs.google.com/spreadsheets/d/1MeEWN-I1oV_STSDYn1IFDPWt_1FKiwhDph83XaGc0o0/edit?usp=sharing"",""งบพรบ!AD71"")"),853672.78)</f>
        <v>853672.78</v>
      </c>
      <c r="O58" s="92">
        <f t="shared" ca="1" si="18"/>
        <v>96.145149228516729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IFERROR(__xludf.DUMMYFUNCTION("IMPORTRANGE(""https://docs.google.com/spreadsheets/d/1MeEWN-I1oV_STSDYn1IFDPWt_1FKiwhDph83XaGc0o0/edit?usp=sharing"",""งบพรบ!Z71"")"),0)</f>
        <v>0</v>
      </c>
      <c r="M61" s="51">
        <f ca="1">IFERROR(__xludf.DUMMYFUNCTION("IMPORTRANGE(""https://docs.google.com/spreadsheets/d/1MeEWN-I1oV_STSDYn1IFDPWt_1FKiwhDph83XaGc0o0/edit?usp=sharing"",""งบพรบ!AC71"")"),0)</f>
        <v>0</v>
      </c>
      <c r="N61" s="51">
        <f ca="1">IFERROR(__xludf.DUMMYFUNCTION("IMPORTRANGE(""https://docs.google.com/spreadsheets/d/1MeEWN-I1oV_STSDYn1IFDPWt_1FKiwhDph83XaGc0o0/edit?usp=sharing"",""งบพรบ!AE71"")"),0)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IFERROR(__xludf.DUMMYFUNCTION("IMPORTRANGE(""https://docs.google.com/spreadsheets/d/1MeEWN-I1oV_STSDYn1IFDPWt_1FKiwhDph83XaGc0o0/edit?usp=sharing"",""งบพรบ!AG71"")"),0)</f>
        <v>0</v>
      </c>
      <c r="M71" s="92">
        <f ca="1">IFERROR(__xludf.DUMMYFUNCTION("IMPORTRANGE(""https://docs.google.com/spreadsheets/d/1MeEWN-I1oV_STSDYn1IFDPWt_1FKiwhDph83XaGc0o0/edit?usp=sharing"",""งบพรบ!AL71"")"),0)</f>
        <v>0</v>
      </c>
      <c r="N71" s="92">
        <f ca="1">IFERROR(__xludf.DUMMYFUNCTION("IMPORTRANGE(""https://docs.google.com/spreadsheets/d/1MeEWN-I1oV_STSDYn1IFDPWt_1FKiwhDph83XaGc0o0/edit?usp=sharing"",""งบพรบ!AN71"")"),0)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IFERROR(__xludf.DUMMYFUNCTION("IMPORTRANGE(""https://docs.google.com/spreadsheets/d/1MeEWN-I1oV_STSDYn1IFDPWt_1FKiwhDph83XaGc0o0/edit?usp=sharing"",""งบพรบ!AJ71"")"),0)</f>
        <v>0</v>
      </c>
      <c r="M74" s="92">
        <f ca="1">IFERROR(__xludf.DUMMYFUNCTION("IMPORTRANGE(""https://docs.google.com/spreadsheets/d/1MeEWN-I1oV_STSDYn1IFDPWt_1FKiwhDph83XaGc0o0/edit?usp=sharing"",""งบพรบ!AM71"")"),0)</f>
        <v>0</v>
      </c>
      <c r="N74" s="92">
        <f ca="1">IFERROR(__xludf.DUMMYFUNCTION("IMPORTRANGE(""https://docs.google.com/spreadsheets/d/1MeEWN-I1oV_STSDYn1IFDPWt_1FKiwhDph83XaGc0o0/edit?usp=sharing"",""งบพรบ!AO71"")"),0)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IFERROR(__xludf.DUMMYFUNCTION("IMPORTRANGE(""https://docs.google.com/spreadsheets/d/1QqKyyYR6Q21VydFLVH3TRQUabQu_ym0Zz7PgGX0-kHA/edit?usp=sharing"",""แผน!H71"")"),0)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IFERROR(__xludf.DUMMYFUNCTION("IMPORTRANGE(""https://docs.google.com/spreadsheets/d/1QqKyyYR6Q21VydFLVH3TRQUabQu_ym0Zz7PgGX0-kHA/edit?usp=sharing"",""แผน!I71"")"),0)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IFERROR(__xludf.DUMMYFUNCTION("IMPORTRANGE(""https://docs.google.com/spreadsheets/d/1QqKyyYR6Q21VydFLVH3TRQUabQu_ym0Zz7PgGX0-kHA/edit?usp=sharing"",""แผน!F71"")"),0)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IFERROR(__xludf.DUMMYFUNCTION("IMPORTRANGE(""https://docs.google.com/spreadsheets/d/1QqKyyYR6Q21VydFLVH3TRQUabQu_ym0Zz7PgGX0-kHA/edit?usp=sharing"",""แผน!G71"")"),0)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IFERROR(__xludf.DUMMYFUNCTION("IMPORTRANGE(""https://docs.google.com/spreadsheets/d/1QqKyyYR6Q21VydFLVH3TRQUabQu_ym0Zz7PgGX0-kHA/edit?usp=sharing"",""แผน!D71"")"),0)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IFERROR(__xludf.DUMMYFUNCTION("IMPORTRANGE(""https://docs.google.com/spreadsheets/d/1QqKyyYR6Q21VydFLVH3TRQUabQu_ym0Zz7PgGX0-kHA/edit?usp=sharing"",""แผน!E71"")"),0)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IFERROR(__xludf.DUMMYFUNCTION("IMPORTRANGE(""https://docs.google.com/spreadsheets/d/1QqKyyYR6Q21VydFLVH3TRQUabQu_ym0Zz7PgGX0-kHA/edit?usp=sharing"",""แผน!J71"")"),0)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174500</v>
      </c>
      <c r="M88" s="154">
        <f ca="1">M89+M90</f>
        <v>174500</v>
      </c>
      <c r="N88" s="154">
        <f ca="1">N89+N90</f>
        <v>174500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174500</v>
      </c>
      <c r="M90" s="92">
        <f t="shared" ca="1" si="27"/>
        <v>174500</v>
      </c>
      <c r="N90" s="92">
        <f t="shared" ca="1" si="27"/>
        <v>174500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174500</v>
      </c>
      <c r="M91" s="497">
        <f ca="1">M92+M93</f>
        <v>174500</v>
      </c>
      <c r="N91" s="497">
        <f ca="1">N92+N93</f>
        <v>174500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IFERROR(__xludf.DUMMYFUNCTION("IMPORTRANGE(""https://docs.google.com/spreadsheets/d/1MeEWN-I1oV_STSDYn1IFDPWt_1FKiwhDph83XaGc0o0/edit?usp=sharing"",""งบพรบ!AQ71"")"),174500)</f>
        <v>174500</v>
      </c>
      <c r="M93" s="92">
        <f ca="1">IFERROR(__xludf.DUMMYFUNCTION("IMPORTRANGE(""https://docs.google.com/spreadsheets/d/1MeEWN-I1oV_STSDYn1IFDPWt_1FKiwhDph83XaGc0o0/edit?usp=sharing"",""งบพรบ!AV71"")"),174500)</f>
        <v>174500</v>
      </c>
      <c r="N93" s="92">
        <f ca="1">IFERROR(__xludf.DUMMYFUNCTION("IMPORTRANGE(""https://docs.google.com/spreadsheets/d/1MeEWN-I1oV_STSDYn1IFDPWt_1FKiwhDph83XaGc0o0/edit?usp=sharing"",""งบพรบ!AX71"")"),174500)</f>
        <v>174500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IFERROR(__xludf.DUMMYFUNCTION("IMPORTRANGE(""https://docs.google.com/spreadsheets/d/1MeEWN-I1oV_STSDYn1IFDPWt_1FKiwhDph83XaGc0o0/edit?usp=sharing"",""งบพรบ!AT71"")"),0)</f>
        <v>0</v>
      </c>
      <c r="M96" s="92">
        <f ca="1">IFERROR(__xludf.DUMMYFUNCTION("IMPORTRANGE(""https://docs.google.com/spreadsheets/d/1MeEWN-I1oV_STSDYn1IFDPWt_1FKiwhDph83XaGc0o0/edit?usp=sharing"",""งบพรบ!AW71"")"),0)</f>
        <v>0</v>
      </c>
      <c r="N96" s="92">
        <f ca="1">IFERROR(__xludf.DUMMYFUNCTION("IMPORTRANGE(""https://docs.google.com/spreadsheets/d/1MeEWN-I1oV_STSDYn1IFDPWt_1FKiwhDph83XaGc0o0/edit?usp=sharing"",""งบพรบ!AY71"")"),0)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IFERROR(__xludf.DUMMYFUNCTION("IMPORTRANGE(""https://docs.google.com/spreadsheets/d/1QqKyyYR6Q21VydFLVH3TRQUabQu_ym0Zz7PgGX0-kHA/edit?usp=sharing"",""แผน!K71"")"),0)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IFERROR(__xludf.DUMMYFUNCTION("IMPORTRANGE(""https://docs.google.com/spreadsheets/d/1QqKyyYR6Q21VydFLVH3TRQUabQu_ym0Zz7PgGX0-kHA/edit?usp=sharing"",""แผน!L71"")"),0)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IFERROR(__xludf.DUMMYFUNCTION("IMPORTRANGE(""https://docs.google.com/spreadsheets/d/1QqKyyYR6Q21VydFLVH3TRQUabQu_ym0Zz7PgGX0-kHA/edit?usp=sharing"",""แผน!M71"")"),1)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IFERROR(__xludf.DUMMYFUNCTION("IMPORTRANGE(""https://docs.google.com/spreadsheets/d/1QqKyyYR6Q21VydFLVH3TRQUabQu_ym0Zz7PgGX0-kHA/edit?usp=sharing"",""แผน!N71"")"),0)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IFERROR(__xludf.DUMMYFUNCTION("IMPORTRANGE(""https://docs.google.com/spreadsheets/d/1QqKyyYR6Q21VydFLVH3TRQUabQu_ym0Zz7PgGX0-kHA/edit?usp=sharing"",""แผน!O71"")"),0)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IFERROR(__xludf.DUMMYFUNCTION("IMPORTRANGE(""https://docs.google.com/spreadsheets/d/1QqKyyYR6Q21VydFLVH3TRQUabQu_ym0Zz7PgGX0-kHA/edit?usp=sharing"",""แผน!O71"")"),0)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IFERROR(__xludf.DUMMYFUNCTION("IMPORTRANGE(""https://docs.google.com/spreadsheets/d/1QqKyyYR6Q21VydFLVH3TRQUabQu_ym0Zz7PgGX0-kHA/edit?usp=sharing"",""แผน!P71"")"),0)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IFERROR(__xludf.DUMMYFUNCTION("IMPORTRANGE(""https://docs.google.com/spreadsheets/d/1QqKyyYR6Q21VydFLVH3TRQUabQu_ym0Zz7PgGX0-kHA/edit?usp=sharing"",""แผน!P71"")"),0)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IFERROR(__xludf.DUMMYFUNCTION("IMPORTRANGE(""https://docs.google.com/spreadsheets/d/1QqKyyYR6Q21VydFLVH3TRQUabQu_ym0Zz7PgGX0-kHA/edit?usp=sharing"",""แผน!Q71"")"),1)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IFERROR(__xludf.DUMMYFUNCTION("IMPORTRANGE(""https://docs.google.com/spreadsheets/d/1QqKyyYR6Q21VydFLVH3TRQUabQu_ym0Zz7PgGX0-kHA/edit?usp=sharing"",""แผน!Q71"")"),1)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IFERROR(__xludf.DUMMYFUNCTION("IMPORTRANGE(""https://docs.google.com/spreadsheets/d/1QqKyyYR6Q21VydFLVH3TRQUabQu_ym0Zz7PgGX0-kHA/edit?usp=sharing"",""แผน!R71"")"),0)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IFERROR(__xludf.DUMMYFUNCTION("IMPORTRANGE(""https://docs.google.com/spreadsheets/d/1QqKyyYR6Q21VydFLVH3TRQUabQu_ym0Zz7PgGX0-kHA/edit?usp=sharing"",""แผน!R71"")"),0)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IFERROR(__xludf.DUMMYFUNCTION("IMPORTRANGE(""https://docs.google.com/spreadsheets/d/1QqKyyYR6Q21VydFLVH3TRQUabQu_ym0Zz7PgGX0-kHA/edit?usp=sharing"",""แผน!S71"")"),0)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IFERROR(__xludf.DUMMYFUNCTION("IMPORTRANGE(""https://docs.google.com/spreadsheets/d/1QqKyyYR6Q21VydFLVH3TRQUabQu_ym0Zz7PgGX0-kHA/edit?usp=sharing"",""แผน!T71"")"),1)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IFERROR(__xludf.DUMMYFUNCTION("IMPORTRANGE(""https://docs.google.com/spreadsheets/d/1MeEWN-I1oV_STSDYn1IFDPWt_1FKiwhDph83XaGc0o0/edit?usp=sharing"",""งบพรบ!BA71"")"),0)</f>
        <v>0</v>
      </c>
      <c r="M124" s="92">
        <f ca="1">IFERROR(__xludf.DUMMYFUNCTION("IMPORTRANGE(""https://docs.google.com/spreadsheets/d/1MeEWN-I1oV_STSDYn1IFDPWt_1FKiwhDph83XaGc0o0/edit?usp=sharing"",""งบพรบ!BF71"")"),0)</f>
        <v>0</v>
      </c>
      <c r="N124" s="92">
        <f ca="1">IFERROR(__xludf.DUMMYFUNCTION("IMPORTRANGE(""https://docs.google.com/spreadsheets/d/1MeEWN-I1oV_STSDYn1IFDPWt_1FKiwhDph83XaGc0o0/edit?usp=sharing"",""งบพรบ!BH71"")"),0)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IFERROR(__xludf.DUMMYFUNCTION("IMPORTRANGE(""https://docs.google.com/spreadsheets/d/1MeEWN-I1oV_STSDYn1IFDPWt_1FKiwhDph83XaGc0o0/edit?usp=sharing"",""งบพรบ!BD71"")"),0)</f>
        <v>0</v>
      </c>
      <c r="M127" s="92">
        <f ca="1">IFERROR(__xludf.DUMMYFUNCTION("IMPORTRANGE(""https://docs.google.com/spreadsheets/d/1MeEWN-I1oV_STSDYn1IFDPWt_1FKiwhDph83XaGc0o0/edit?usp=sharing"",""งบพรบ!BG71"")"),0)</f>
        <v>0</v>
      </c>
      <c r="N127" s="92">
        <f ca="1">IFERROR(__xludf.DUMMYFUNCTION("IMPORTRANGE(""https://docs.google.com/spreadsheets/d/1MeEWN-I1oV_STSDYn1IFDPWt_1FKiwhDph83XaGc0o0/edit?usp=sharing"",""งบพรบ!BI71"")"),0)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IFERROR(__xludf.DUMMYFUNCTION("IMPORTRANGE(""https://docs.google.com/spreadsheets/d/1MeEWN-I1oV_STSDYn1IFDPWt_1FKiwhDph83XaGc0o0/edit?usp=sharing"",""งบพรบ!BK71"")"),0)</f>
        <v>0</v>
      </c>
      <c r="M137" s="92">
        <f ca="1">IFERROR(__xludf.DUMMYFUNCTION("IMPORTRANGE(""https://docs.google.com/spreadsheets/d/1MeEWN-I1oV_STSDYn1IFDPWt_1FKiwhDph83XaGc0o0/edit?usp=sharing"",""งบพรบ!BP71"")"),0)</f>
        <v>0</v>
      </c>
      <c r="N137" s="92">
        <f ca="1">IFERROR(__xludf.DUMMYFUNCTION("IMPORTRANGE(""https://docs.google.com/spreadsheets/d/1MeEWN-I1oV_STSDYn1IFDPWt_1FKiwhDph83XaGc0o0/edit?usp=sharing"",""งบพรบ!BR71"")"),0)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IFERROR(__xludf.DUMMYFUNCTION("IMPORTRANGE(""https://docs.google.com/spreadsheets/d/1MeEWN-I1oV_STSDYn1IFDPWt_1FKiwhDph83XaGc0o0/edit?usp=sharing"",""งบพรบ!BN71"")"),0)</f>
        <v>0</v>
      </c>
      <c r="M140" s="92">
        <f ca="1">IFERROR(__xludf.DUMMYFUNCTION("IMPORTRANGE(""https://docs.google.com/spreadsheets/d/1MeEWN-I1oV_STSDYn1IFDPWt_1FKiwhDph83XaGc0o0/edit?usp=sharing"",""งบพรบ!BQ71"")"),0)</f>
        <v>0</v>
      </c>
      <c r="N140" s="92">
        <f ca="1">IFERROR(__xludf.DUMMYFUNCTION("IMPORTRANGE(""https://docs.google.com/spreadsheets/d/1MeEWN-I1oV_STSDYn1IFDPWt_1FKiwhDph83XaGc0o0/edit?usp=sharing"",""งบพรบ!BS71"")"),0)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IFERROR(__xludf.DUMMYFUNCTION("IMPORTRANGE(""https://docs.google.com/spreadsheets/d/1QqKyyYR6Q21VydFLVH3TRQUabQu_ym0Zz7PgGX0-kHA/edit?usp=sharing"",""แผน!U71"")"),0)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IFERROR(__xludf.DUMMYFUNCTION("IMPORTRANGE(""https://docs.google.com/spreadsheets/d/1QqKyyYR6Q21VydFLVH3TRQUabQu_ym0Zz7PgGX0-kHA/edit?usp=sharing"",""แผน!V71"")"),0)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IFERROR(__xludf.DUMMYFUNCTION("IMPORTRANGE(""https://docs.google.com/spreadsheets/d/1QqKyyYR6Q21VydFLVH3TRQUabQu_ym0Zz7PgGX0-kHA/edit?usp=sharing"",""แผน!W71"")"),0)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IFERROR(__xludf.DUMMYFUNCTION("IMPORTRANGE(""https://docs.google.com/spreadsheets/d/1MeEWN-I1oV_STSDYn1IFDPWt_1FKiwhDph83XaGc0o0/edit?usp=sharing"",""งบพรบ!BU71"")"),0)</f>
        <v>0</v>
      </c>
      <c r="M154" s="92">
        <f ca="1">IFERROR(__xludf.DUMMYFUNCTION("IMPORTRANGE(""https://docs.google.com/spreadsheets/d/1MeEWN-I1oV_STSDYn1IFDPWt_1FKiwhDph83XaGc0o0/edit?usp=sharing"",""งบพรบ!BZ71"")"),0)</f>
        <v>0</v>
      </c>
      <c r="N154" s="92">
        <f ca="1">IFERROR(__xludf.DUMMYFUNCTION("IMPORTRANGE(""https://docs.google.com/spreadsheets/d/1MeEWN-I1oV_STSDYn1IFDPWt_1FKiwhDph83XaGc0o0/edit?usp=sharing"",""งบพรบ!CB71"")"),0)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IFERROR(__xludf.DUMMYFUNCTION("IMPORTRANGE(""https://docs.google.com/spreadsheets/d/1MeEWN-I1oV_STSDYn1IFDPWt_1FKiwhDph83XaGc0o0/edit?usp=sharing"",""งบพรบ!BX71"")"),0)</f>
        <v>0</v>
      </c>
      <c r="M157" s="92">
        <f ca="1">IFERROR(__xludf.DUMMYFUNCTION("IMPORTRANGE(""https://docs.google.com/spreadsheets/d/1MeEWN-I1oV_STSDYn1IFDPWt_1FKiwhDph83XaGc0o0/edit?usp=sharing"",""งบพรบ!CA71"")"),0)</f>
        <v>0</v>
      </c>
      <c r="N157" s="92">
        <f ca="1">IFERROR(__xludf.DUMMYFUNCTION("IMPORTRANGE(""https://docs.google.com/spreadsheets/d/1MeEWN-I1oV_STSDYn1IFDPWt_1FKiwhDph83XaGc0o0/edit?usp=sharing"",""งบพรบ!CC71"")"),0)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IFERROR(__xludf.DUMMYFUNCTION("IMPORTRANGE(""https://docs.google.com/spreadsheets/d/1QqKyyYR6Q21VydFLVH3TRQUabQu_ym0Zz7PgGX0-kHA/edit?usp=sharing"",""แผน!X71"")"),0)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22055</v>
      </c>
      <c r="M165" s="154">
        <f ca="1">M166+M167</f>
        <v>44425</v>
      </c>
      <c r="N165" s="154">
        <f ca="1">N166+N167</f>
        <v>44425</v>
      </c>
      <c r="O165" s="154">
        <f t="shared" ref="O165:O173" ca="1" si="38">IF(L165&gt;0,N165*100/L165,0)</f>
        <v>201.42824756291091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22055</v>
      </c>
      <c r="M167" s="92">
        <f t="shared" ca="1" si="40"/>
        <v>44425</v>
      </c>
      <c r="N167" s="92">
        <f t="shared" ca="1" si="40"/>
        <v>44425</v>
      </c>
      <c r="O167" s="92">
        <f t="shared" ca="1" si="38"/>
        <v>201.42824756291091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22055</v>
      </c>
      <c r="M168" s="497">
        <f ca="1">M169+M170</f>
        <v>44425</v>
      </c>
      <c r="N168" s="497">
        <f ca="1">N169+N170</f>
        <v>44425</v>
      </c>
      <c r="O168" s="497">
        <f t="shared" ca="1" si="38"/>
        <v>201.42824756291091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IFERROR(__xludf.DUMMYFUNCTION("IMPORTRANGE(""https://docs.google.com/spreadsheets/d/1MeEWN-I1oV_STSDYn1IFDPWt_1FKiwhDph83XaGc0o0/edit?usp=sharing"",""งบพรบ!CE71"")"),22055)</f>
        <v>22055</v>
      </c>
      <c r="M170" s="92">
        <f ca="1">IFERROR(__xludf.DUMMYFUNCTION("IMPORTRANGE(""https://docs.google.com/spreadsheets/d/1MeEWN-I1oV_STSDYn1IFDPWt_1FKiwhDph83XaGc0o0/edit?usp=sharing"",""งบพรบ!CJ71"")"),44425)</f>
        <v>44425</v>
      </c>
      <c r="N170" s="92">
        <f ca="1">IFERROR(__xludf.DUMMYFUNCTION("IMPORTRANGE(""https://docs.google.com/spreadsheets/d/1MeEWN-I1oV_STSDYn1IFDPWt_1FKiwhDph83XaGc0o0/edit?usp=sharing"",""งบพรบ!CL71"")"),44425)</f>
        <v>44425</v>
      </c>
      <c r="O170" s="92">
        <f t="shared" ca="1" si="38"/>
        <v>201.42824756291091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IFERROR(__xludf.DUMMYFUNCTION("IMPORTRANGE(""https://docs.google.com/spreadsheets/d/1MeEWN-I1oV_STSDYn1IFDPWt_1FKiwhDph83XaGc0o0/edit?usp=sharing"",""งบพรบ!CH71"")"),0)</f>
        <v>0</v>
      </c>
      <c r="M173" s="92">
        <f ca="1">IFERROR(__xludf.DUMMYFUNCTION("IMPORTRANGE(""https://docs.google.com/spreadsheets/d/1MeEWN-I1oV_STSDYn1IFDPWt_1FKiwhDph83XaGc0o0/edit?usp=sharing"",""งบพรบ!CK71"")"),0)</f>
        <v>0</v>
      </c>
      <c r="N173" s="92">
        <f ca="1">IFERROR(__xludf.DUMMYFUNCTION("IMPORTRANGE(""https://docs.google.com/spreadsheets/d/1MeEWN-I1oV_STSDYn1IFDPWt_1FKiwhDph83XaGc0o0/edit?usp=sharing"",""งบพรบ!CM71"")"),0)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IFERROR(__xludf.DUMMYFUNCTION("IMPORTRANGE(""https://docs.google.com/spreadsheets/d/1QqKyyYR6Q21VydFLVH3TRQUabQu_ym0Zz7PgGX0-kHA/edit?usp=sharing"",""แผน!Y71"")"),11)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12500</v>
      </c>
      <c r="M181" s="154">
        <f ca="1">M182+M183</f>
        <v>12500</v>
      </c>
      <c r="N181" s="154">
        <f ca="1">N182+N183</f>
        <v>12500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12500</v>
      </c>
      <c r="M183" s="92">
        <f t="shared" ca="1" si="43"/>
        <v>12500</v>
      </c>
      <c r="N183" s="92">
        <f t="shared" ca="1" si="43"/>
        <v>12500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12500</v>
      </c>
      <c r="M184" s="497">
        <f ca="1">M185+M186</f>
        <v>12500</v>
      </c>
      <c r="N184" s="497">
        <f ca="1">N185+N186</f>
        <v>12500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IFERROR(__xludf.DUMMYFUNCTION("IMPORTRANGE(""https://docs.google.com/spreadsheets/d/1MeEWN-I1oV_STSDYn1IFDPWt_1FKiwhDph83XaGc0o0/edit?usp=sharing"",""งบพรบ!CO71"")"),12500)</f>
        <v>12500</v>
      </c>
      <c r="M186" s="92">
        <f ca="1">IFERROR(__xludf.DUMMYFUNCTION("IMPORTRANGE(""https://docs.google.com/spreadsheets/d/1MeEWN-I1oV_STSDYn1IFDPWt_1FKiwhDph83XaGc0o0/edit?usp=sharing"",""งบพรบ!CT71"")"),12500)</f>
        <v>12500</v>
      </c>
      <c r="N186" s="92">
        <f ca="1">IFERROR(__xludf.DUMMYFUNCTION("IMPORTRANGE(""https://docs.google.com/spreadsheets/d/1MeEWN-I1oV_STSDYn1IFDPWt_1FKiwhDph83XaGc0o0/edit?usp=sharing"",""งบพรบ!CV71"")"),12500)</f>
        <v>12500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IFERROR(__xludf.DUMMYFUNCTION("IMPORTRANGE(""https://docs.google.com/spreadsheets/d/1MeEWN-I1oV_STSDYn1IFDPWt_1FKiwhDph83XaGc0o0/edit?usp=sharing"",""งบพรบ!CR71"")"),0)</f>
        <v>0</v>
      </c>
      <c r="M189" s="92">
        <f ca="1">IFERROR(__xludf.DUMMYFUNCTION("IMPORTRANGE(""https://docs.google.com/spreadsheets/d/1MeEWN-I1oV_STSDYn1IFDPWt_1FKiwhDph83XaGc0o0/edit?usp=sharing"",""งบพรบ!CU71"")"),0)</f>
        <v>0</v>
      </c>
      <c r="N189" s="92">
        <f ca="1">IFERROR(__xludf.DUMMYFUNCTION("IMPORTRANGE(""https://docs.google.com/spreadsheets/d/1MeEWN-I1oV_STSDYn1IFDPWt_1FKiwhDph83XaGc0o0/edit?usp=sharing"",""งบพรบ!CW71"")"),0)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IFERROR(__xludf.DUMMYFUNCTION("IMPORTRANGE(""https://docs.google.com/spreadsheets/d/1QqKyyYR6Q21VydFLVH3TRQUabQu_ym0Zz7PgGX0-kHA/edit?usp=sharing"",""แผน!Z71"")"),6000)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IFERROR(__xludf.DUMMYFUNCTION("IMPORTRANGE(""https://docs.google.com/spreadsheets/d/1QqKyyYR6Q21VydFLVH3TRQUabQu_ym0Zz7PgGX0-kHA/edit?usp=sharing"",""แผน!AC71"")"),4)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198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198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IFERROR(__xludf.DUMMYFUNCTION("IMPORTRANGE(""https://docs.google.com/spreadsheets/d/1QqKyyYR6Q21VydFLVH3TRQUabQu_ym0Zz7PgGX0-kHA/edit?usp=sharing"",""แผน!AI71"")"),0)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IFERROR(__xludf.DUMMYFUNCTION("IMPORTRANGE(""https://docs.google.com/spreadsheets/d/1QqKyyYR6Q21VydFLVH3TRQUabQu_ym0Zz7PgGX0-kHA/edit?usp=sharing"",""แผน!AN71"")"),0)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IFERROR(__xludf.DUMMYFUNCTION("IMPORTRANGE(""https://docs.google.com/spreadsheets/d/1QqKyyYR6Q21VydFLVH3TRQUabQu_ym0Zz7PgGX0-kHA/edit?usp=sharing"",""แผน!AN71"")"),0)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10000</v>
      </c>
      <c r="J216" s="271">
        <f>J224</f>
        <v>10000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6500</v>
      </c>
      <c r="M217" s="154"/>
      <c r="N217" s="154">
        <f>N218+N219+N220</f>
        <v>6500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3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IFERROR(__xludf.DUMMYFUNCTION("IMPORTRANGE(""https://docs.google.com/spreadsheets/d/1QqKyyYR6Q21VydFLVH3TRQUabQu_ym0Zz7PgGX0-kHA/edit?usp=sharing"",""แผน!AT71"")"),10000)</f>
        <v>10000</v>
      </c>
      <c r="J223" s="214">
        <v>10000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IFERROR(__xludf.DUMMYFUNCTION("IMPORTRANGE(""https://docs.google.com/spreadsheets/d/1QqKyyYR6Q21VydFLVH3TRQUabQu_ym0Zz7PgGX0-kHA/edit?usp=sharing"",""แผน!AT71"")"),10000)</f>
        <v>10000</v>
      </c>
      <c r="J224" s="214">
        <v>10000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IFERROR(__xludf.DUMMYFUNCTION("IMPORTRANGE(""https://docs.google.com/spreadsheets/d/1QqKyyYR6Q21VydFLVH3TRQUabQu_ym0Zz7PgGX0-kHA/edit?usp=sharing"",""แผน!AS71"")"),0)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IFERROR(__xludf.DUMMYFUNCTION("IMPORTRANGE(""https://docs.google.com/spreadsheets/d/1QqKyyYR6Q21VydFLVH3TRQUabQu_ym0Zz7PgGX0-kHA/edit?usp=sharing"",""แผน!AV71"")"),0)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IFERROR(__xludf.DUMMYFUNCTION("IMPORTRANGE(""https://docs.google.com/spreadsheets/d/1QqKyyYR6Q21VydFLVH3TRQUabQu_ym0Zz7PgGX0-kHA/edit?usp=sharing"",""แผน!AW71"")"),0)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IFERROR(__xludf.DUMMYFUNCTION("IMPORTRANGE(""https://docs.google.com/spreadsheets/d/1QqKyyYR6Q21VydFLVH3TRQUabQu_ym0Zz7PgGX0-kHA/edit?usp=sharing"",""แผน!AX71"")"),0)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IFERROR(__xludf.DUMMYFUNCTION("IMPORTRANGE(""https://docs.google.com/spreadsheets/d/1QqKyyYR6Q21VydFLVH3TRQUabQu_ym0Zz7PgGX0-kHA/edit?usp=sharing"",""แผน!AY71"")"),0)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IFERROR(__xludf.DUMMYFUNCTION("IMPORTRANGE(""https://docs.google.com/spreadsheets/d/1QqKyyYR6Q21VydFLVH3TRQUabQu_ym0Zz7PgGX0-kHA/edit?usp=sharing"",""แผน!BE71"")"),0)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IFERROR(__xludf.DUMMYFUNCTION("IMPORTRANGE(""https://docs.google.com/spreadsheets/d/1QqKyyYR6Q21VydFLVH3TRQUabQu_ym0Zz7PgGX0-kHA/edit?usp=sharing"",""แผน!AZ71"")"),0)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IFERROR(__xludf.DUMMYFUNCTION("IMPORTRANGE(""https://docs.google.com/spreadsheets/d/1QqKyyYR6Q21VydFLVH3TRQUabQu_ym0Zz7PgGX0-kHA/edit?usp=sharing"",""แผน!BA71"")"),0)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IFERROR(__xludf.DUMMYFUNCTION("IMPORTRANGE(""https://docs.google.com/spreadsheets/d/1QqKyyYR6Q21VydFLVH3TRQUabQu_ym0Zz7PgGX0-kHA/edit?usp=sharing"",""แผน!BB71"")"),0)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IFERROR(__xludf.DUMMYFUNCTION("IMPORTRANGE(""https://docs.google.com/spreadsheets/d/1QqKyyYR6Q21VydFLVH3TRQUabQu_ym0Zz7PgGX0-kHA/edit?usp=sharing"",""แผน!BC71"")"),0)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IFERROR(__xludf.DUMMYFUNCTION("IMPORTRANGE(""https://docs.google.com/spreadsheets/d/1QqKyyYR6Q21VydFLVH3TRQUabQu_ym0Zz7PgGX0-kHA/edit?usp=sharing"",""แผน!BF71"")"),0)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10</v>
      </c>
      <c r="J260" s="252">
        <f>J271</f>
        <v>10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158500</v>
      </c>
      <c r="M261" s="154">
        <f ca="1">M262+M263</f>
        <v>158500</v>
      </c>
      <c r="N261" s="154">
        <f ca="1">N262+N263</f>
        <v>158500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158500</v>
      </c>
      <c r="M263" s="92">
        <f t="shared" ca="1" si="46"/>
        <v>158500</v>
      </c>
      <c r="N263" s="92">
        <f t="shared" ca="1" si="46"/>
        <v>158500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158500</v>
      </c>
      <c r="M264" s="497">
        <f ca="1">M265+M266</f>
        <v>158500</v>
      </c>
      <c r="N264" s="497">
        <f ca="1">N265+N266</f>
        <v>158500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IFERROR(__xludf.DUMMYFUNCTION("IMPORTRANGE(""https://docs.google.com/spreadsheets/d/1MeEWN-I1oV_STSDYn1IFDPWt_1FKiwhDph83XaGc0o0/edit?usp=sharing"",""งบพรบ!CY71"")"),158500)</f>
        <v>158500</v>
      </c>
      <c r="M266" s="92">
        <f ca="1">IFERROR(__xludf.DUMMYFUNCTION("IMPORTRANGE(""https://docs.google.com/spreadsheets/d/1MeEWN-I1oV_STSDYn1IFDPWt_1FKiwhDph83XaGc0o0/edit?usp=sharing"",""งบพรบ!DD71"")"),158500)</f>
        <v>158500</v>
      </c>
      <c r="N266" s="92">
        <f ca="1">IFERROR(__xludf.DUMMYFUNCTION("IMPORTRANGE(""https://docs.google.com/spreadsheets/d/1MeEWN-I1oV_STSDYn1IFDPWt_1FKiwhDph83XaGc0o0/edit?usp=sharing"",""งบพรบ!DF71"")"),158500)</f>
        <v>158500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IFERROR(__xludf.DUMMYFUNCTION("IMPORTRANGE(""https://docs.google.com/spreadsheets/d/1MeEWN-I1oV_STSDYn1IFDPWt_1FKiwhDph83XaGc0o0/edit?usp=sharing"",""งบพรบ!DB71"")"),0)</f>
        <v>0</v>
      </c>
      <c r="M269" s="92">
        <f ca="1">IFERROR(__xludf.DUMMYFUNCTION("IMPORTRANGE(""https://docs.google.com/spreadsheets/d/1MeEWN-I1oV_STSDYn1IFDPWt_1FKiwhDph83XaGc0o0/edit?usp=sharing"",""งบพรบ!DE71"")"),0)</f>
        <v>0</v>
      </c>
      <c r="N269" s="92">
        <f ca="1">IFERROR(__xludf.DUMMYFUNCTION("IMPORTRANGE(""https://docs.google.com/spreadsheets/d/1MeEWN-I1oV_STSDYn1IFDPWt_1FKiwhDph83XaGc0o0/edit?usp=sharing"",""งบพรบ!DG71"")"),0)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IFERROR(__xludf.DUMMYFUNCTION("IMPORTRANGE(""https://docs.google.com/spreadsheets/d/1QqKyyYR6Q21VydFLVH3TRQUabQu_ym0Zz7PgGX0-kHA/edit?usp=sharing"",""แผน!EA71"")"),10)</f>
        <v>10</v>
      </c>
      <c r="J271" s="214">
        <v>10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IFERROR(__xludf.DUMMYFUNCTION("IMPORTRANGE(""https://docs.google.com/spreadsheets/d/1MeEWN-I1oV_STSDYn1IFDPWt_1FKiwhDph83XaGc0o0/edit?usp=sharing"",""งบพรบ!DI71"")"),0)</f>
        <v>0</v>
      </c>
      <c r="M282" s="92">
        <f ca="1">IFERROR(__xludf.DUMMYFUNCTION("IMPORTRANGE(""https://docs.google.com/spreadsheets/d/1MeEWN-I1oV_STSDYn1IFDPWt_1FKiwhDph83XaGc0o0/edit?usp=sharing"",""งบพรบ!DN71"")"),0)</f>
        <v>0</v>
      </c>
      <c r="N282" s="92">
        <f ca="1">IFERROR(__xludf.DUMMYFUNCTION("IMPORTRANGE(""https://docs.google.com/spreadsheets/d/1MeEWN-I1oV_STSDYn1IFDPWt_1FKiwhDph83XaGc0o0/edit?usp=sharing"",""งบพรบ!DP71"")"),0)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IFERROR(__xludf.DUMMYFUNCTION("IMPORTRANGE(""https://docs.google.com/spreadsheets/d/1MeEWN-I1oV_STSDYn1IFDPWt_1FKiwhDph83XaGc0o0/edit?usp=sharing"",""งบพรบ!DL71"")"),0)</f>
        <v>0</v>
      </c>
      <c r="M285" s="92">
        <f ca="1">IFERROR(__xludf.DUMMYFUNCTION("IMPORTRANGE(""https://docs.google.com/spreadsheets/d/1MeEWN-I1oV_STSDYn1IFDPWt_1FKiwhDph83XaGc0o0/edit?usp=sharing"",""งบพรบ!DO71"")"),0)</f>
        <v>0</v>
      </c>
      <c r="N285" s="92">
        <f ca="1">IFERROR(__xludf.DUMMYFUNCTION("IMPORTRANGE(""https://docs.google.com/spreadsheets/d/1MeEWN-I1oV_STSDYn1IFDPWt_1FKiwhDph83XaGc0o0/edit?usp=sharing"",""งบพรบ!DQ71"")"),0)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IFERROR(__xludf.DUMMYFUNCTION("IMPORTRANGE(""https://docs.google.com/spreadsheets/d/1QqKyyYR6Q21VydFLVH3TRQUabQu_ym0Zz7PgGX0-kHA/edit?usp=sharing"",""แผน!EC71"")"),0)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IFERROR(__xludf.DUMMYFUNCTION("IMPORTRANGE(""https://docs.google.com/spreadsheets/d/1QqKyyYR6Q21VydFLVH3TRQUabQu_ym0Zz7PgGX0-kHA/edit?usp=sharing"",""แผน!EB71"")"),0)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IFERROR(__xludf.DUMMYFUNCTION("IMPORTRANGE(""https://docs.google.com/spreadsheets/d/1QqKyyYR6Q21VydFLVH3TRQUabQu_ym0Zz7PgGX0-kHA/edit?usp=sharing"",""แผน!EB71"")"),0)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IFERROR(__xludf.DUMMYFUNCTION("IMPORTRANGE(""https://docs.google.com/spreadsheets/d/1QqKyyYR6Q21VydFLVH3TRQUabQu_ym0Zz7PgGX0-kHA/edit?usp=sharing"",""แผน!EB71"")"),0)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IFERROR(__xludf.DUMMYFUNCTION("IMPORTRANGE(""https://docs.google.com/spreadsheets/d/1QqKyyYR6Q21VydFLVH3TRQUabQu_ym0Zz7PgGX0-kHA/edit?usp=sharing"",""แผน!EB71"")"),0)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IFERROR(__xludf.DUMMYFUNCTION("IMPORTRANGE(""https://docs.google.com/spreadsheets/d/1MeEWN-I1oV_STSDYn1IFDPWt_1FKiwhDph83XaGc0o0/edit?usp=sharing"",""งบพรบ!DS71"")"),0)</f>
        <v>0</v>
      </c>
      <c r="M303" s="92">
        <f ca="1">IFERROR(__xludf.DUMMYFUNCTION("IMPORTRANGE(""https://docs.google.com/spreadsheets/d/1MeEWN-I1oV_STSDYn1IFDPWt_1FKiwhDph83XaGc0o0/edit?usp=sharing"",""งบพรบ!DX71"")"),0)</f>
        <v>0</v>
      </c>
      <c r="N303" s="92">
        <f ca="1">IFERROR(__xludf.DUMMYFUNCTION("IMPORTRANGE(""https://docs.google.com/spreadsheets/d/1MeEWN-I1oV_STSDYn1IFDPWt_1FKiwhDph83XaGc0o0/edit?usp=sharing"",""งบพรบ!DZ71"")"),0)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IFERROR(__xludf.DUMMYFUNCTION("IMPORTRANGE(""https://docs.google.com/spreadsheets/d/1MeEWN-I1oV_STSDYn1IFDPWt_1FKiwhDph83XaGc0o0/edit?usp=sharing"",""งบพรบ!DV71"")"),0)</f>
        <v>0</v>
      </c>
      <c r="M306" s="92">
        <f ca="1">IFERROR(__xludf.DUMMYFUNCTION("IMPORTRANGE(""https://docs.google.com/spreadsheets/d/1MeEWN-I1oV_STSDYn1IFDPWt_1FKiwhDph83XaGc0o0/edit?usp=sharing"",""งบพรบ!DY71"")"),0)</f>
        <v>0</v>
      </c>
      <c r="N306" s="92">
        <f ca="1">IFERROR(__xludf.DUMMYFUNCTION("IMPORTRANGE(""https://docs.google.com/spreadsheets/d/1MeEWN-I1oV_STSDYn1IFDPWt_1FKiwhDph83XaGc0o0/edit?usp=sharing"",""งบพรบ!EA71"")"),0)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IFERROR(__xludf.DUMMYFUNCTION("IMPORTRANGE(""https://docs.google.com/spreadsheets/d/1QqKyyYR6Q21VydFLVH3TRQUabQu_ym0Zz7PgGX0-kHA/edit?usp=sharing"",""แผน!ED71"")"),0)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IFERROR(__xludf.DUMMYFUNCTION("IMPORTRANGE(""https://docs.google.com/spreadsheets/d/1QqKyyYR6Q21VydFLVH3TRQUabQu_ym0Zz7PgGX0-kHA/edit?usp=sharing"",""แผน!ED71"")"),0)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IFERROR(__xludf.DUMMYFUNCTION("IMPORTRANGE(""https://docs.google.com/spreadsheets/d/1QqKyyYR6Q21VydFLVH3TRQUabQu_ym0Zz7PgGX0-kHA/edit?usp=sharing"",""แผน!ED71"")"),0)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IFERROR(__xludf.DUMMYFUNCTION("IMPORTRANGE(""https://docs.google.com/spreadsheets/d/1QqKyyYR6Q21VydFLVH3TRQUabQu_ym0Zz7PgGX0-kHA/edit?usp=sharing"",""แผน!EE71"")"),0)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IFERROR(__xludf.DUMMYFUNCTION("IMPORTRANGE(""https://docs.google.com/spreadsheets/d/1MeEWN-I1oV_STSDYn1IFDPWt_1FKiwhDph83XaGc0o0/edit?usp=sharing"",""งบพรบ!EC71"")"),0)</f>
        <v>0</v>
      </c>
      <c r="M320" s="92">
        <f ca="1">IFERROR(__xludf.DUMMYFUNCTION("IMPORTRANGE(""https://docs.google.com/spreadsheets/d/1MeEWN-I1oV_STSDYn1IFDPWt_1FKiwhDph83XaGc0o0/edit?usp=sharing"",""งบพรบ!EH71"")"),0)</f>
        <v>0</v>
      </c>
      <c r="N320" s="92">
        <f ca="1">IFERROR(__xludf.DUMMYFUNCTION("IMPORTRANGE(""https://docs.google.com/spreadsheets/d/1MeEWN-I1oV_STSDYn1IFDPWt_1FKiwhDph83XaGc0o0/edit?usp=sharing"",""งบพรบ!EJ71"")"),0)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IFERROR(__xludf.DUMMYFUNCTION("IMPORTRANGE(""https://docs.google.com/spreadsheets/d/1MeEWN-I1oV_STSDYn1IFDPWt_1FKiwhDph83XaGc0o0/edit?usp=sharing"",""งบพรบ!EF71"")"),0)</f>
        <v>0</v>
      </c>
      <c r="M323" s="92">
        <f ca="1">IFERROR(__xludf.DUMMYFUNCTION("IMPORTRANGE(""https://docs.google.com/spreadsheets/d/1MeEWN-I1oV_STSDYn1IFDPWt_1FKiwhDph83XaGc0o0/edit?usp=sharing"",""งบพรบ!EI71"")"),0)</f>
        <v>0</v>
      </c>
      <c r="N323" s="92">
        <f ca="1">IFERROR(__xludf.DUMMYFUNCTION("IMPORTRANGE(""https://docs.google.com/spreadsheets/d/1MeEWN-I1oV_STSDYn1IFDPWt_1FKiwhDph83XaGc0o0/edit?usp=sharing"",""งบพรบ!EK71"")"),0)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IFERROR(__xludf.DUMMYFUNCTION("IMPORTRANGE(""https://docs.google.com/spreadsheets/d/1QqKyyYR6Q21VydFLVH3TRQUabQu_ym0Zz7PgGX0-kHA/edit?usp=sharing"",""แผน!EF71"")"),0)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IFERROR(__xludf.DUMMYFUNCTION("IMPORTRANGE(""https://docs.google.com/spreadsheets/d/1QqKyyYR6Q21VydFLVH3TRQUabQu_ym0Zz7PgGX0-kHA/edit?usp=sharing"",""แผน!EG71"")"),50)</f>
        <v>50</v>
      </c>
      <c r="J327" s="443">
        <f ca="1">J338+J341+J342+J343</f>
        <v>54</v>
      </c>
      <c r="K327" s="444">
        <f ca="1">IF(I327&gt;0,J327*100/I327,0)</f>
        <v>108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353600</v>
      </c>
      <c r="M328" s="154">
        <f ca="1">M329+M330</f>
        <v>356100</v>
      </c>
      <c r="N328" s="154">
        <f ca="1">N329+N330</f>
        <v>356100</v>
      </c>
      <c r="O328" s="154">
        <f t="shared" ref="O328:O336" ca="1" si="56">IF(L328&gt;0,N328*100/L328,0)</f>
        <v>100.70701357466064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353600</v>
      </c>
      <c r="M330" s="92">
        <f t="shared" ca="1" si="58"/>
        <v>356100</v>
      </c>
      <c r="N330" s="92">
        <f t="shared" ca="1" si="58"/>
        <v>356100</v>
      </c>
      <c r="O330" s="92">
        <f t="shared" ca="1" si="56"/>
        <v>100.70701357466064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353600</v>
      </c>
      <c r="M331" s="497">
        <f ca="1">M332+M333</f>
        <v>356100</v>
      </c>
      <c r="N331" s="497">
        <f ca="1">N332+N333</f>
        <v>356100</v>
      </c>
      <c r="O331" s="497">
        <f t="shared" ca="1" si="56"/>
        <v>100.70701357466064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IFERROR(__xludf.DUMMYFUNCTION("IMPORTRANGE(""https://docs.google.com/spreadsheets/d/1MeEWN-I1oV_STSDYn1IFDPWt_1FKiwhDph83XaGc0o0/edit?usp=sharing"",""งบพรบ!EM71"")"),353600)</f>
        <v>353600</v>
      </c>
      <c r="M333" s="92">
        <f ca="1">IFERROR(__xludf.DUMMYFUNCTION("IMPORTRANGE(""https://docs.google.com/spreadsheets/d/1MeEWN-I1oV_STSDYn1IFDPWt_1FKiwhDph83XaGc0o0/edit?usp=sharing"",""งบพรบ!ER71"")"),356100)</f>
        <v>356100</v>
      </c>
      <c r="N333" s="92">
        <f ca="1">IFERROR(__xludf.DUMMYFUNCTION("IMPORTRANGE(""https://docs.google.com/spreadsheets/d/1MeEWN-I1oV_STSDYn1IFDPWt_1FKiwhDph83XaGc0o0/edit?usp=sharing"",""งบพรบ!ET71"")"),356100)</f>
        <v>356100</v>
      </c>
      <c r="O333" s="92">
        <f t="shared" ca="1" si="56"/>
        <v>100.70701357466064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IFERROR(__xludf.DUMMYFUNCTION("IMPORTRANGE(""https://docs.google.com/spreadsheets/d/1MeEWN-I1oV_STSDYn1IFDPWt_1FKiwhDph83XaGc0o0/edit?usp=sharing"",""งบพรบ!EP71"")"),0)</f>
        <v>0</v>
      </c>
      <c r="M336" s="92">
        <f ca="1">IFERROR(__xludf.DUMMYFUNCTION("IMPORTRANGE(""https://docs.google.com/spreadsheets/d/1MeEWN-I1oV_STSDYn1IFDPWt_1FKiwhDph83XaGc0o0/edit?usp=sharing"",""งบพรบ!ES71"")"),0)</f>
        <v>0</v>
      </c>
      <c r="N336" s="92">
        <f ca="1">IFERROR(__xludf.DUMMYFUNCTION("IMPORTRANGE(""https://docs.google.com/spreadsheets/d/1MeEWN-I1oV_STSDYn1IFDPWt_1FKiwhDph83XaGc0o0/edit?usp=sharing"",""งบพรบ!EU71"")"),0)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IFERROR(__xludf.DUMMYFUNCTION("IMPORTRANGE(""https://docs.google.com/spreadsheets/d/1QqKyyYR6Q21VydFLVH3TRQUabQu_ym0Zz7PgGX0-kHA/edit?usp=sharing"",""แผน!EG71"")"),50)</f>
        <v>50</v>
      </c>
      <c r="J338" s="269">
        <f ca="1">IFERROR(__xludf.DUMMYFUNCTION("IMPORTRANGE(""https://docs.google.com/spreadsheets/d/1kVcqe37tkHyjCSG3S0O1AXqVkqjo8mSIZil3BcpIysc/edit?usp=sharing"",""ศูนย์!D71"")"),33)</f>
        <v>33</v>
      </c>
      <c r="K338" s="497">
        <f ca="1">IF(I338&gt;0,J338*100/I338,0)</f>
        <v>66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IFERROR(__xludf.DUMMYFUNCTION("IMPORTRANGE(""https://docs.google.com/spreadsheets/d/1QqKyyYR6Q21VydFLVH3TRQUabQu_ym0Zz7PgGX0-kHA/edit?usp=sharing"",""แผน!EH71"")"),2)</f>
        <v>2</v>
      </c>
      <c r="J340" s="269">
        <f ca="1">IFERROR(__xludf.DUMMYFUNCTION("IMPORTRANGE(""https://docs.google.com/spreadsheets/d/1kVcqe37tkHyjCSG3S0O1AXqVkqjo8mSIZil3BcpIysc/edit?usp=sharing"",""ศูนย์!E71"")"),2)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IFERROR(__xludf.DUMMYFUNCTION("IMPORTRANGE(""https://docs.google.com/spreadsheets/d/1kVcqe37tkHyjCSG3S0O1AXqVkqjo8mSIZil3BcpIysc/edit?usp=sharing"",""ศูนย์!F71"")"),21)</f>
        <v>21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96770</v>
      </c>
      <c r="M345" s="154">
        <f ca="1">M346+M347</f>
        <v>116010</v>
      </c>
      <c r="N345" s="154">
        <f ca="1">N346+N347</f>
        <v>116010</v>
      </c>
      <c r="O345" s="154">
        <f t="shared" ref="O345:O353" ca="1" si="59">IF(L345&gt;0,N345*100/L345,0)</f>
        <v>119.88219489511212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96770</v>
      </c>
      <c r="M347" s="92">
        <f t="shared" ca="1" si="61"/>
        <v>116010</v>
      </c>
      <c r="N347" s="92">
        <f t="shared" ca="1" si="61"/>
        <v>116010</v>
      </c>
      <c r="O347" s="92">
        <f t="shared" ca="1" si="59"/>
        <v>119.88219489511212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43970</v>
      </c>
      <c r="M348" s="497">
        <f ca="1">M349+M350</f>
        <v>63970</v>
      </c>
      <c r="N348" s="497">
        <f ca="1">N349+N350</f>
        <v>63970</v>
      </c>
      <c r="O348" s="497">
        <f t="shared" ca="1" si="59"/>
        <v>145.48555833522857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IFERROR(__xludf.DUMMYFUNCTION("IMPORTRANGE(""https://docs.google.com/spreadsheets/d/1MeEWN-I1oV_STSDYn1IFDPWt_1FKiwhDph83XaGc0o0/edit?usp=sharing"",""งบพรบ!EW71"")"),43970)</f>
        <v>43970</v>
      </c>
      <c r="M350" s="92">
        <f ca="1">IFERROR(__xludf.DUMMYFUNCTION("IMPORTRANGE(""https://docs.google.com/spreadsheets/d/1MeEWN-I1oV_STSDYn1IFDPWt_1FKiwhDph83XaGc0o0/edit?usp=sharing"",""งบพรบ!FB71"")"),63970)</f>
        <v>63970</v>
      </c>
      <c r="N350" s="92">
        <f ca="1">IFERROR(__xludf.DUMMYFUNCTION("IMPORTRANGE(""https://docs.google.com/spreadsheets/d/1MeEWN-I1oV_STSDYn1IFDPWt_1FKiwhDph83XaGc0o0/edit?usp=sharing"",""งบพรบ!FD71"")"),63970)</f>
        <v>63970</v>
      </c>
      <c r="O350" s="92">
        <f t="shared" ca="1" si="59"/>
        <v>145.48555833522857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52800</v>
      </c>
      <c r="M351" s="497">
        <f ca="1">M352+M353</f>
        <v>52040</v>
      </c>
      <c r="N351" s="497">
        <f ca="1">N352+N353</f>
        <v>52040</v>
      </c>
      <c r="O351" s="497">
        <f t="shared" ca="1" si="59"/>
        <v>98.560606060606062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IFERROR(__xludf.DUMMYFUNCTION("IMPORTRANGE(""https://docs.google.com/spreadsheets/d/1MeEWN-I1oV_STSDYn1IFDPWt_1FKiwhDph83XaGc0o0/edit?usp=sharing"",""งบพรบ!EZ71"")"),52800)</f>
        <v>52800</v>
      </c>
      <c r="M353" s="92">
        <f ca="1">IFERROR(__xludf.DUMMYFUNCTION("IMPORTRANGE(""https://docs.google.com/spreadsheets/d/1MeEWN-I1oV_STSDYn1IFDPWt_1FKiwhDph83XaGc0o0/edit?usp=sharing"",""งบพรบ!FC71"")"),52040)</f>
        <v>52040</v>
      </c>
      <c r="N353" s="92">
        <f ca="1">IFERROR(__xludf.DUMMYFUNCTION("IMPORTRANGE(""https://docs.google.com/spreadsheets/d/1MeEWN-I1oV_STSDYn1IFDPWt_1FKiwhDph83XaGc0o0/edit?usp=sharing"",""งบพรบ!FE71"")"),52040)</f>
        <v>52040</v>
      </c>
      <c r="O353" s="92">
        <f t="shared" ca="1" si="59"/>
        <v>98.560606060606062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IFERROR(__xludf.DUMMYFUNCTION("IMPORTRANGE(""https://docs.google.com/spreadsheets/d/1QqKyyYR6Q21VydFLVH3TRQUabQu_ym0Zz7PgGX0-kHA/edit?usp=sharing"",""แผน!EO71"")"),0)</f>
        <v>0</v>
      </c>
      <c r="J359" s="269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IFERROR(__xludf.DUMMYFUNCTION("IMPORTRANGE(""https://docs.google.com/spreadsheets/d/1QqKyyYR6Q21VydFLVH3TRQUabQu_ym0Zz7PgGX0-kHA/edit?usp=sharing"",""แผน!EP71"")"),0)</f>
        <v>0</v>
      </c>
      <c r="J360" s="269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IFERROR(__xludf.DUMMYFUNCTION("IMPORTRANGE(""https://docs.google.com/spreadsheets/d/1QqKyyYR6Q21VydFLVH3TRQUabQu_ym0Zz7PgGX0-kHA/edit?usp=sharing"",""แผน!EP71"")"),0)</f>
        <v>0</v>
      </c>
      <c r="J362" s="269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IFERROR(__xludf.DUMMYFUNCTION("IMPORTRANGE(""https://docs.google.com/spreadsheets/d/1QqKyyYR6Q21VydFLVH3TRQUabQu_ym0Zz7PgGX0-kHA/edit?usp=sharing"",""แผน!EI71"")"),0)</f>
        <v>0</v>
      </c>
      <c r="J369" s="269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IFERROR(__xludf.DUMMYFUNCTION("IMPORTRANGE(""https://docs.google.com/spreadsheets/d/1QqKyyYR6Q21VydFLVH3TRQUabQu_ym0Zz7PgGX0-kHA/edit?usp=sharing"",""แผน!EJ71"")"),0)</f>
        <v>0</v>
      </c>
      <c r="J370" s="269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IFERROR(__xludf.DUMMYFUNCTION("IMPORTRANGE(""https://docs.google.com/spreadsheets/d/1QqKyyYR6Q21VydFLVH3TRQUabQu_ym0Zz7PgGX0-kHA/edit?usp=sharing"",""แผน!EJ71"")"),0)</f>
        <v>0</v>
      </c>
      <c r="J372" s="269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IFERROR(__xludf.DUMMYFUNCTION("IMPORTRANGE(""https://docs.google.com/spreadsheets/d/1QqKyyYR6Q21VydFLVH3TRQUabQu_ym0Zz7PgGX0-kHA/edit?usp=sharing"",""แผน!ET71"")"),0)</f>
        <v>0</v>
      </c>
      <c r="J378" s="269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IFERROR(__xludf.DUMMYFUNCTION("IMPORTRANGE(""https://docs.google.com/spreadsheets/d/1QqKyyYR6Q21VydFLVH3TRQUabQu_ym0Zz7PgGX0-kHA/edit?usp=sharing"",""แผน!EU71"")"),0)</f>
        <v>0</v>
      </c>
      <c r="J379" s="269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IFERROR(__xludf.DUMMYFUNCTION("IMPORTRANGE(""https://docs.google.com/spreadsheets/d/1QqKyyYR6Q21VydFLVH3TRQUabQu_ym0Zz7PgGX0-kHA/edit?usp=sharing"",""แผน!EU71"")"),0)</f>
        <v>0</v>
      </c>
      <c r="J381" s="269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6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IFERROR(__xludf.DUMMYFUNCTION("IMPORTRANGE(""https://docs.google.com/spreadsheets/d/1MeEWN-I1oV_STSDYn1IFDPWt_1FKiwhDph83XaGc0o0/edit?usp=sharing"",""งบพรบ!FG71"")"),0)</f>
        <v>0</v>
      </c>
      <c r="M394" s="92">
        <f ca="1">IFERROR(__xludf.DUMMYFUNCTION("IMPORTRANGE(""https://docs.google.com/spreadsheets/d/1MeEWN-I1oV_STSDYn1IFDPWt_1FKiwhDph83XaGc0o0/edit?usp=sharing"",""งบพรบ!FL71"")"),0)</f>
        <v>0</v>
      </c>
      <c r="N394" s="92">
        <f ca="1">IFERROR(__xludf.DUMMYFUNCTION("IMPORTRANGE(""https://docs.google.com/spreadsheets/d/1MeEWN-I1oV_STSDYn1IFDPWt_1FKiwhDph83XaGc0o0/edit?usp=sharing"",""งบพรบ!FN71"")"),0)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IFERROR(__xludf.DUMMYFUNCTION("IMPORTRANGE(""https://docs.google.com/spreadsheets/d/1MeEWN-I1oV_STSDYn1IFDPWt_1FKiwhDph83XaGc0o0/edit?usp=sharing"",""งบพรบ!FJ71"")"),0)</f>
        <v>0</v>
      </c>
      <c r="M397" s="92">
        <f ca="1">IFERROR(__xludf.DUMMYFUNCTION("IMPORTRANGE(""https://docs.google.com/spreadsheets/d/1MeEWN-I1oV_STSDYn1IFDPWt_1FKiwhDph83XaGc0o0/edit?usp=sharing"",""งบพรบ!FM71"")"),0)</f>
        <v>0</v>
      </c>
      <c r="N397" s="92">
        <f ca="1">IFERROR(__xludf.DUMMYFUNCTION("IMPORTRANGE(""https://docs.google.com/spreadsheets/d/1MeEWN-I1oV_STSDYn1IFDPWt_1FKiwhDph83XaGc0o0/edit?usp=sharing"",""งบพรบ!FO71"")"),0)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IFERROR(__xludf.DUMMYFUNCTION("IMPORTRANGE(""https://docs.google.com/spreadsheets/d/1MeEWN-I1oV_STSDYn1IFDPWt_1FKiwhDph83XaGc0o0/edit?usp=sharing"",""งบพรบ!FQ71"")"),0)</f>
        <v>0</v>
      </c>
      <c r="M407" s="92">
        <f ca="1">IFERROR(__xludf.DUMMYFUNCTION("IMPORTRANGE(""https://docs.google.com/spreadsheets/d/1MeEWN-I1oV_STSDYn1IFDPWt_1FKiwhDph83XaGc0o0/edit?usp=sharing"",""งบพรบ!FV71"")"),0)</f>
        <v>0</v>
      </c>
      <c r="N407" s="92">
        <f ca="1">IFERROR(__xludf.DUMMYFUNCTION("IMPORTRANGE(""https://docs.google.com/spreadsheets/d/1MeEWN-I1oV_STSDYn1IFDPWt_1FKiwhDph83XaGc0o0/edit?usp=sharing"",""งบพรบ!FX71"")"),0)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IFERROR(__xludf.DUMMYFUNCTION("IMPORTRANGE(""https://docs.google.com/spreadsheets/d/1MeEWN-I1oV_STSDYn1IFDPWt_1FKiwhDph83XaGc0o0/edit?usp=sharing"",""งบพรบ!FT71"")"),0)</f>
        <v>0</v>
      </c>
      <c r="M410" s="92">
        <f ca="1">IFERROR(__xludf.DUMMYFUNCTION("IMPORTRANGE(""https://docs.google.com/spreadsheets/d/1MeEWN-I1oV_STSDYn1IFDPWt_1FKiwhDph83XaGc0o0/edit?usp=sharing"",""งบพรบ!FW71"")"),0)</f>
        <v>0</v>
      </c>
      <c r="N410" s="92">
        <f ca="1">IFERROR(__xludf.DUMMYFUNCTION("IMPORTRANGE(""https://docs.google.com/spreadsheets/d/1MeEWN-I1oV_STSDYn1IFDPWt_1FKiwhDph83XaGc0o0/edit?usp=sharing"",""งบพรบ!FY71"")"),0)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143500</v>
      </c>
      <c r="M414" s="549">
        <f ca="1">M419+M444+M467+M502+M523+M544+M629+M655+M685+M737+M754+M770+M786+M805</f>
        <v>94601</v>
      </c>
      <c r="N414" s="549">
        <f>N419+N444+N467+N502+N523+N544+N629+N655+N685+N737+N754+N770+N786+N805</f>
        <v>94601</v>
      </c>
      <c r="O414" s="549">
        <f ca="1">IF(L414&gt;0,N414*100/L414,0)</f>
        <v>65.924041811846692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10</v>
      </c>
      <c r="J417" s="565">
        <f ca="1">J433</f>
        <v>10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54560</v>
      </c>
      <c r="M419" s="154">
        <f ca="1">M420+M421</f>
        <v>57460</v>
      </c>
      <c r="N419" s="154">
        <f>N420+N421</f>
        <v>57460</v>
      </c>
      <c r="O419" s="154">
        <f t="shared" ref="O419:O424" ca="1" si="71">IF(L419&gt;0,N419*100/L419,0)</f>
        <v>105.31524926686217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54560</v>
      </c>
      <c r="M421" s="92">
        <f t="shared" ca="1" si="73"/>
        <v>57460</v>
      </c>
      <c r="N421" s="92">
        <f t="shared" si="73"/>
        <v>57460</v>
      </c>
      <c r="O421" s="92">
        <f t="shared" ca="1" si="71"/>
        <v>105.31524926686217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54560</v>
      </c>
      <c r="M422" s="497">
        <f ca="1">M423+M424</f>
        <v>57460</v>
      </c>
      <c r="N422" s="497">
        <f>N423+N424</f>
        <v>57460</v>
      </c>
      <c r="O422" s="497">
        <f t="shared" ca="1" si="71"/>
        <v>105.31524926686217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IFERROR(__xludf.DUMMYFUNCTION("IMPORTRANGE(""https://docs.google.com/spreadsheets/d/1QqKyyYR6Q21VydFLVH3TRQUabQu_ym0Zz7PgGX0-kHA/edit?usp=sharing"",""แผน!EY71"")"),54560)</f>
        <v>54560</v>
      </c>
      <c r="M424" s="92">
        <f ca="1">L424+5000-2100</f>
        <v>57460</v>
      </c>
      <c r="N424" s="92">
        <f>N425+N426+N427+N428</f>
        <v>57460</v>
      </c>
      <c r="O424" s="92">
        <f t="shared" ca="1" si="71"/>
        <v>105.31524926686217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46392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11068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IFERROR(__xludf.DUMMYFUNCTION("IMPORTRANGE(""https://docs.google.com/spreadsheets/d/1QqKyyYR6Q21VydFLVH3TRQUabQu_ym0Zz7PgGX0-kHA/edit?usp=sharing"",""แผน!FB71"")"),0)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IFERROR(__xludf.DUMMYFUNCTION("IMPORTRANGE(""https://docs.google.com/spreadsheets/d/1QqKyyYR6Q21VydFLVH3TRQUabQu_ym0Zz7PgGX0-kHA/edit?usp=sharing"",""แผน!FE71"")"),0)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IFERROR(__xludf.DUMMYFUNCTION("IMPORTRANGE(""https://docs.google.com/spreadsheets/d/1QqKyyYR6Q21VydFLVH3TRQUabQu_ym0Zz7PgGX0-kHA/edit?usp=sharing"",""แผน!FG71"")"),1)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IFERROR(__xludf.DUMMYFUNCTION("IMPORTRANGE(""https://docs.google.com/spreadsheets/d/1QqKyyYR6Q21VydFLVH3TRQUabQu_ym0Zz7PgGX0-kHA/edit?usp=sharing"",""แผน!FH71"")"),0)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IFERROR(__xludf.DUMMYFUNCTION("IMPORTRANGE(""https://docs.google.com/spreadsheets/d/1QqKyyYR6Q21VydFLVH3TRQUabQu_ym0Zz7PgGX0-kHA/edit?usp=sharing"",""แผน!FJ71"")"),0)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IFERROR(__xludf.DUMMYFUNCTION("IMPORTRANGE(""https://docs.google.com/spreadsheets/d/1QqKyyYR6Q21VydFLVH3TRQUabQu_ym0Zz7PgGX0-kHA/edit?usp=sharing"",""แผน!FM71"")"),0)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IFERROR(__xludf.DUMMYFUNCTION("IMPORTRANGE(""https://docs.google.com/spreadsheets/d/1QqKyyYR6Q21VydFLVH3TRQUabQu_ym0Zz7PgGX0-kHA/edit?usp=sharing"",""แผน!FN71"")"),0)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IFERROR(__xludf.DUMMYFUNCTION("IMPORTRANGE(""https://docs.google.com/spreadsheets/d/1QqKyyYR6Q21VydFLVH3TRQUabQu_ym0Zz7PgGX0-kHA/edit?usp=sharing"",""แผน!FO71"")"),0)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IFERROR(__xludf.DUMMYFUNCTION("IMPORTRANGE(""https://docs.google.com/spreadsheets/d/1QqKyyYR6Q21VydFLVH3TRQUabQu_ym0Zz7PgGX0-kHA/edit?usp=sharing"",""แผน!FO71"")"),0)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IFERROR(__xludf.DUMMYFUNCTION("IMPORTRANGE(""https://docs.google.com/spreadsheets/d/1QqKyyYR6Q21VydFLVH3TRQUabQu_ym0Zz7PgGX0-kHA/edit?usp=sharing"",""แผน!FN71"")"),0)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IFERROR(__xludf.DUMMYFUNCTION("IMPORTRANGE(""https://docs.google.com/spreadsheets/d/1QqKyyYR6Q21VydFLVH3TRQUabQu_ym0Zz7PgGX0-kHA/edit?usp=sharing"",""แผน!FS71"")"),0)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IFERROR(__xludf.DUMMYFUNCTION("IMPORTRANGE(""https://docs.google.com/spreadsheets/d/1QqKyyYR6Q21VydFLVH3TRQUabQu_ym0Zz7PgGX0-kHA/edit?usp=sharing"",""แผน!FV71"")"),0)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IFERROR(__xludf.DUMMYFUNCTION("IMPORTRANGE(""https://docs.google.com/spreadsheets/d/1QqKyyYR6Q21VydFLVH3TRQUabQu_ym0Zz7PgGX0-kHA/edit?usp=sharing"",""แผน!FY71"")"),0)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IFERROR(__xludf.DUMMYFUNCTION("IMPORTRANGE(""https://docs.google.com/spreadsheets/d/1QqKyyYR6Q21VydFLVH3TRQUabQu_ym0Zz7PgGX0-kHA/edit?usp=sharing"",""แผน!FZ71"")"),0)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IFERROR(__xludf.DUMMYFUNCTION("IMPORTRANGE(""https://docs.google.com/spreadsheets/d/1QqKyyYR6Q21VydFLVH3TRQUabQu_ym0Zz7PgGX0-kHA/edit?usp=sharing"",""แผน!GA71"")"),0)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IFERROR(__xludf.DUMMYFUNCTION("IMPORTRANGE(""https://docs.google.com/spreadsheets/d/1QqKyyYR6Q21VydFLVH3TRQUabQu_ym0Zz7PgGX0-kHA/edit?usp=sharing"",""แผน!GB71"")"),0)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IFERROR(__xludf.DUMMYFUNCTION("IMPORTRANGE(""https://docs.google.com/spreadsheets/d/1QqKyyYR6Q21VydFLVH3TRQUabQu_ym0Zz7PgGX0-kHA/edit?usp=sharing"",""แผน!GC71"")"),0)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IFERROR(__xludf.DUMMYFUNCTION("IMPORTRANGE(""https://docs.google.com/spreadsheets/d/1QqKyyYR6Q21VydFLVH3TRQUabQu_ym0Zz7PgGX0-kHA/edit?usp=sharing"",""แผน!FY71"")"),0)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IFERROR(__xludf.DUMMYFUNCTION("IMPORTRANGE(""https://docs.google.com/spreadsheets/d/1QqKyyYR6Q21VydFLVH3TRQUabQu_ym0Zz7PgGX0-kHA/edit?usp=sharing"",""แผน!GA71"")"),0)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IFERROR(__xludf.DUMMYFUNCTION("IMPORTRANGE(""https://docs.google.com/spreadsheets/d/1QqKyyYR6Q21VydFLVH3TRQUabQu_ym0Zz7PgGX0-kHA/edit?usp=sharing"",""แผน!GQ71"")"),0)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IFERROR(__xludf.DUMMYFUNCTION("IMPORTRANGE(""https://docs.google.com/spreadsheets/d/1QqKyyYR6Q21VydFLVH3TRQUabQu_ym0Zz7PgGX0-kHA/edit?usp=sharing"",""แผน!GT71"")"),0)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IFERROR(__xludf.DUMMYFUNCTION("IMPORTRANGE(""https://docs.google.com/spreadsheets/d/1QqKyyYR6Q21VydFLVH3TRQUabQu_ym0Zz7PgGX0-kHA/edit?usp=sharing"",""แผน!GV71"")"),0)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IFERROR(__xludf.DUMMYFUNCTION("IMPORTRANGE(""https://docs.google.com/spreadsheets/d/1QqKyyYR6Q21VydFLVH3TRQUabQu_ym0Zz7PgGX0-kHA/edit?usp=sharing"",""แผน!GW71"")"),0)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IFERROR(__xludf.DUMMYFUNCTION("IMPORTRANGE(""https://docs.google.com/spreadsheets/d/1QqKyyYR6Q21VydFLVH3TRQUabQu_ym0Zz7PgGX0-kHA/edit?usp=sharing"",""แผน!GX71"")"),0)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IFERROR(__xludf.DUMMYFUNCTION("IMPORTRANGE(""https://docs.google.com/spreadsheets/d/1QqKyyYR6Q21VydFLVH3TRQUabQu_ym0Zz7PgGX0-kHA/edit?usp=sharing"",""แผน!GY71"")"),0)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IFERROR(__xludf.DUMMYFUNCTION("IMPORTRANGE(""https://docs.google.com/spreadsheets/d/1QqKyyYR6Q21VydFLVH3TRQUabQu_ym0Zz7PgGX0-kHA/edit?usp=sharing"",""แผน!GZ71"")"),0)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75300</v>
      </c>
      <c r="M544" s="154">
        <f ca="1">M545+M546</f>
        <v>17270</v>
      </c>
      <c r="N544" s="154">
        <f>N545+N546</f>
        <v>17270</v>
      </c>
      <c r="O544" s="154">
        <f t="shared" ref="O544:O549" ca="1" si="88">IF(L544&gt;0,N544*100/L544,0)</f>
        <v>22.93492695883134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75300</v>
      </c>
      <c r="M546" s="92">
        <f ca="1">M549+M556</f>
        <v>17270</v>
      </c>
      <c r="N546" s="92">
        <f>N549+N556</f>
        <v>17270</v>
      </c>
      <c r="O546" s="92">
        <f t="shared" ca="1" si="88"/>
        <v>22.93492695883134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75300</v>
      </c>
      <c r="M547" s="497">
        <f ca="1">M548+M549</f>
        <v>17270</v>
      </c>
      <c r="N547" s="497">
        <f>N548+N549</f>
        <v>17270</v>
      </c>
      <c r="O547" s="497">
        <f t="shared" ca="1" si="88"/>
        <v>22.93492695883134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IFERROR(__xludf.DUMMYFUNCTION("IMPORTRANGE(""https://docs.google.com/spreadsheets/d/1QqKyyYR6Q21VydFLVH3TRQUabQu_ym0Zz7PgGX0-kHA/edit?usp=sharing"",""แผน!HB71"")"),75300)</f>
        <v>75300</v>
      </c>
      <c r="M549" s="92">
        <f ca="1">L549-58030</f>
        <v>17270</v>
      </c>
      <c r="N549" s="92">
        <f>N550+N551+N552+N553+N554</f>
        <v>17270</v>
      </c>
      <c r="O549" s="92">
        <f t="shared" ca="1" si="88"/>
        <v>22.93492695883134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17270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IFERROR(__xludf.DUMMYFUNCTION("IMPORTRANGE(""https://docs.google.com/spreadsheets/d/1QqKyyYR6Q21VydFLVH3TRQUabQu_ym0Zz7PgGX0-kHA/edit?usp=sharing"",""แผน!HF71"")"),0)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IFERROR(__xludf.DUMMYFUNCTION("IMPORTRANGE(""https://docs.google.com/spreadsheets/d/1QqKyyYR6Q21VydFLVH3TRQUabQu_ym0Zz7PgGX0-kHA/edit?usp=sharing"",""แผน!HH71"")"),0)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IFERROR(__xludf.DUMMYFUNCTION("IMPORTRANGE(""https://docs.google.com/spreadsheets/d/1QqKyyYR6Q21VydFLVH3TRQUabQu_ym0Zz7PgGX0-kHA/edit?usp=sharing"",""แผน!HG71"")"),0)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IFERROR(__xludf.DUMMYFUNCTION("IMPORTRANGE(""https://docs.google.com/spreadsheets/d/1QqKyyYR6Q21VydFLVH3TRQUabQu_ym0Zz7PgGX0-kHA/edit?usp=sharing"",""แผน!HH71"")"),0)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IFERROR(__xludf.DUMMYFUNCTION("IMPORTRANGE(""https://docs.google.com/spreadsheets/d/1QqKyyYR6Q21VydFLVH3TRQUabQu_ym0Zz7PgGX0-kHA/edit?usp=sharing"",""แผน!HG71"")"),0)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IFERROR(__xludf.DUMMYFUNCTION("IMPORTRANGE(""https://docs.google.com/spreadsheets/d/1QqKyyYR6Q21VydFLVH3TRQUabQu_ym0Zz7PgGX0-kHA/edit?usp=sharing"",""แผน!HH71"")"),0)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IFERROR(__xludf.DUMMYFUNCTION("IMPORTRANGE(""https://docs.google.com/spreadsheets/d/1QqKyyYR6Q21VydFLVH3TRQUabQu_ym0Zz7PgGX0-kHA/edit?usp=sharing"",""แผน!HG71"")"),0)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398.83</v>
      </c>
      <c r="J592" s="703">
        <f>J593</f>
        <v>398.82995</v>
      </c>
      <c r="K592" s="672">
        <f ca="1">IF(I592&gt;0,J592*100/I592,0)</f>
        <v>99.999987463330257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2">
        <f>J595+J603+J609</f>
        <v>398.82995</v>
      </c>
      <c r="K593" s="410">
        <f ca="1">IF(I593&gt;0,J593*100/I593,0)</f>
        <v>99.999987463330257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IFERROR(__xludf.DUMMYFUNCTION("IMPORTRANGE(""https://docs.google.com/spreadsheets/d/1QqKyyYR6Q21VydFLVH3TRQUabQu_ym0Zz7PgGX0-kHA/edit?usp=sharing"",""แผน!HI71"")"),31)</f>
        <v>31</v>
      </c>
      <c r="J594" s="192">
        <f>J596+J604+J610</f>
        <v>31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333.82900000000001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25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333.82900000000001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25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65.000950000000003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6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65.000950000000003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6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IFERROR(__xludf.DUMMYFUNCTION("IMPORTRANGE(""https://docs.google.com/spreadsheets/d/1QqKyyYR6Q21VydFLVH3TRQUabQu_ym0Zz7PgGX0-kHA/edit?usp=sharing"",""แผน!HN71"")"),0)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IFERROR(__xludf.DUMMYFUNCTION("IMPORTRANGE(""https://docs.google.com/spreadsheets/d/1QqKyyYR6Q21VydFLVH3TRQUabQu_ym0Zz7PgGX0-kHA/edit?usp=sharing"",""แผน!HQ71"")"),0)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IFERROR(__xludf.DUMMYFUNCTION("IMPORTRANGE(""https://docs.google.com/spreadsheets/d/1QqKyyYR6Q21VydFLVH3TRQUabQu_ym0Zz7PgGX0-kHA/edit?usp=sharing"",""แผน!HR71"")"),0)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IFERROR(__xludf.DUMMYFUNCTION("IMPORTRANGE(""https://docs.google.com/spreadsheets/d/1QqKyyYR6Q21VydFLVH3TRQUabQu_ym0Zz7PgGX0-kHA/edit?usp=sharing"",""แผน!HR71"")"),0)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IFERROR(__xludf.DUMMYFUNCTION("IMPORTRANGE(""https://docs.google.com/spreadsheets/d/1XWAQStnk-4SwqDmLtmXYiTMKHgktTP8We1SCoS47DrQ/edit?usp=sharing"",""จัดที่ดิน!AS71"")"),0)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IFERROR(__xludf.DUMMYFUNCTION("IMPORTRANGE(""https://docs.google.com/spreadsheets/d/1QqKyyYR6Q21VydFLVH3TRQUabQu_ym0Zz7PgGX0-kHA/edit?usp=sharing"",""แผน!HS71"")"),0)</f>
        <v>0</v>
      </c>
      <c r="J647" s="269">
        <f ca="1">IFERROR(__xludf.DUMMYFUNCTION("IMPORTRANGE(""https://docs.google.com/spreadsheets/d/1XWAQStnk-4SwqDmLtmXYiTMKHgktTP8We1SCoS47DrQ/edit?usp=sharing"",""จัดที่ดิน!AU71"")"),0)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IFERROR(__xludf.DUMMYFUNCTION("IMPORTRANGE(""https://docs.google.com/spreadsheets/d/1QqKyyYR6Q21VydFLVH3TRQUabQu_ym0Zz7PgGX0-kHA/edit?usp=sharing"",""แผน!HS71"")"),0)</f>
        <v>0</v>
      </c>
      <c r="J649" s="269">
        <f ca="1">IFERROR(__xludf.DUMMYFUNCTION("IMPORTRANGE(""https://docs.google.com/spreadsheets/d/1XWAQStnk-4SwqDmLtmXYiTMKHgktTP8We1SCoS47DrQ/edit?usp=sharing"",""จัดที่ดิน!AW71"")"),0)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IFERROR(__xludf.DUMMYFUNCTION("IMPORTRANGE(""https://docs.google.com/spreadsheets/d/1QqKyyYR6Q21VydFLVH3TRQUabQu_ym0Zz7PgGX0-kHA/edit?usp=sharing"",""แผน!HS71"")"),0)</f>
        <v>0</v>
      </c>
      <c r="J651" s="269">
        <f ca="1">IFERROR(__xludf.DUMMYFUNCTION("IMPORTRANGE(""https://docs.google.com/spreadsheets/d/1XWAQStnk-4SwqDmLtmXYiTMKHgktTP8We1SCoS47DrQ/edit?usp=sharing"",""จัดที่ดิน!AY71"")"),0)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19751</v>
      </c>
      <c r="N655" s="194">
        <f>N656+N657</f>
        <v>19751</v>
      </c>
      <c r="O655" s="194">
        <f t="shared" ref="O655:O660" ca="1" si="94">IF(L655&gt;0,N655*100/L655,0)</f>
        <v>159.28225806451613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19751</v>
      </c>
      <c r="N657" s="92">
        <f t="shared" si="96"/>
        <v>19751</v>
      </c>
      <c r="O657" s="92">
        <f t="shared" ca="1" si="94"/>
        <v>159.28225806451613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19751</v>
      </c>
      <c r="N658" s="497">
        <f>N659+N660</f>
        <v>19751</v>
      </c>
      <c r="O658" s="497">
        <f t="shared" ca="1" si="94"/>
        <v>159.28225806451613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IFERROR(__xludf.DUMMYFUNCTION("IMPORTRANGE(""https://docs.google.com/spreadsheets/d/1QqKyyYR6Q21VydFLVH3TRQUabQu_ym0Zz7PgGX0-kHA/edit?usp=sharing"",""แผน!HV71"")"),12400)</f>
        <v>12400</v>
      </c>
      <c r="M660" s="92">
        <f ca="1">L660+10170-2819</f>
        <v>19751</v>
      </c>
      <c r="N660" s="92">
        <f>N661+N662+N663+N664</f>
        <v>19751</v>
      </c>
      <c r="O660" s="92">
        <f t="shared" ca="1" si="94"/>
        <v>159.28225806451613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19751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4">
        <f ca="1">IF(I669&gt;0,J669*100/I669,0)</f>
        <v>143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IFERROR(__xludf.DUMMYFUNCTION("IMPORTRANGE(""https://docs.google.com/spreadsheets/d/1QqKyyYR6Q21VydFLVH3TRQUabQu_ym0Zz7PgGX0-kHA/edit?usp=sharing"",""แผน!HZ71"")"),4)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IFERROR(__xludf.DUMMYFUNCTION("IMPORTRANGE(""https://docs.google.com/spreadsheets/d/1QqKyyYR6Q21VydFLVH3TRQUabQu_ym0Zz7PgGX0-kHA/edit?usp=sharing"",""แผน!HZ71"")"),4)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170</v>
      </c>
      <c r="K672" s="497">
        <f ca="1">IF(I$669&gt;0,J672*100/I$669,0)</f>
        <v>170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170</v>
      </c>
      <c r="K673" s="497">
        <f ca="1">IF(I$669&gt;0,J673*100/I$669,0)</f>
        <v>170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170</v>
      </c>
      <c r="K674" s="497">
        <f ca="1">IF(I$669&gt;0,J674*100/I$669,0)</f>
        <v>170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143</v>
      </c>
      <c r="K675" s="194">
        <f ca="1">IF(I$669&gt;0,J675*100/I$669,0)</f>
        <v>143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143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1240</v>
      </c>
      <c r="M685" s="194">
        <f ca="1">M686+M687</f>
        <v>120</v>
      </c>
      <c r="N685" s="194">
        <f>N686+N687</f>
        <v>120</v>
      </c>
      <c r="O685" s="194">
        <f ca="1">IF(L685&gt;0,N685*100/L685,0)</f>
        <v>9.67741935483871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1240</v>
      </c>
      <c r="M687" s="92">
        <f t="shared" ca="1" si="97"/>
        <v>120</v>
      </c>
      <c r="N687" s="92">
        <f t="shared" si="97"/>
        <v>120</v>
      </c>
      <c r="O687" s="92">
        <f ca="1">IF(L687&gt;0,N687*100/L687,0)</f>
        <v>9.67741935483871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1240</v>
      </c>
      <c r="M688" s="497">
        <f ca="1">M689+M690</f>
        <v>120</v>
      </c>
      <c r="N688" s="497">
        <f>N689+N690</f>
        <v>120</v>
      </c>
      <c r="O688" s="497">
        <f ca="1">IF(L688&gt;0,N688*100/L688,0)</f>
        <v>9.67741935483871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IFERROR(__xludf.DUMMYFUNCTION("IMPORTRANGE(""https://docs.google.com/spreadsheets/d/1QqKyyYR6Q21VydFLVH3TRQUabQu_ym0Zz7PgGX0-kHA/edit?usp=sharing"",""แผน!HW71"")"),1240)</f>
        <v>1240</v>
      </c>
      <c r="M690" s="92">
        <f ca="1">L690-1120</f>
        <v>120</v>
      </c>
      <c r="N690" s="92">
        <f>N691+N692+N693+N694</f>
        <v>120</v>
      </c>
      <c r="O690" s="92">
        <f ca="1">IF(L690&gt;0,N690*100/L690,0)</f>
        <v>9.67741935483871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120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69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69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69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1</v>
      </c>
      <c r="K721" s="194">
        <f ca="1">IF(I721&gt;0,J721*100/I721,0)</f>
        <v>100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15.08</v>
      </c>
      <c r="K722" s="194">
        <f ca="1">IF(I722&gt;0,J722*100/I722,0)</f>
        <v>100.53333333333333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69">
        <f ca="1">IFERROR(__xludf.DUMMYFUNCTION("IMPORTRANGE(""https://docs.google.com/spreadsheets/d/1XWAQStnk-4SwqDmLtmXYiTMKHgktTP8We1SCoS47DrQ/edit?usp=sharing"",""จัดที่ดิน!BM71"")"),1)</f>
        <v>1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IFERROR(__xludf.DUMMYFUNCTION("IMPORTRANGE(""https://docs.google.com/spreadsheets/d/1XWAQStnk-4SwqDmLtmXYiTMKHgktTP8We1SCoS47DrQ/edit?usp=sharing"",""จัดที่ดิน!BN71"")"),1)</f>
        <v>1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69">
        <f ca="1">IFERROR(__xludf.DUMMYFUNCTION("IMPORTRANGE(""https://docs.google.com/spreadsheets/d/1XWAQStnk-4SwqDmLtmXYiTMKHgktTP8We1SCoS47DrQ/edit?usp=sharing"",""จัดที่ดิน!BO71"")"),15.08)</f>
        <v>15.08</v>
      </c>
      <c r="K725" s="497">
        <f ca="1">IF(I725&gt;0,J725*100/I725,0)</f>
        <v>100.53333333333333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69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69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IFERROR(__xludf.DUMMYFUNCTION("IMPORTRANGE(""https://docs.google.com/spreadsheets/d/1QqKyyYR6Q21VydFLVH3TRQUabQu_ym0Zz7PgGX0-kHA/edit?usp=sharing"",""แผน!JJ71"")"),0)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IFERROR(__xludf.DUMMYFUNCTION("IMPORTRANGE(""https://docs.google.com/spreadsheets/d/1QqKyyYR6Q21VydFLVH3TRQUabQu_ym0Zz7PgGX0-kHA/edit?usp=sharing"",""แผน!JN71"")"),0)</f>
        <v>0</v>
      </c>
      <c r="J800" s="183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IFERROR(__xludf.DUMMYFUNCTION("IMPORTRANGE(""https://docs.google.com/spreadsheets/d/19vJNZY_5yjcGF2XGBMNZRCAIB0Kwfpjp8YEOfu-bneM/edit?usp=sharing"",""งานกองทุน!D71"")"),580000)</f>
        <v>580000</v>
      </c>
      <c r="J821" s="269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113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IFERROR(__xludf.DUMMYFUNCTION("IMPORTRANGE(""https://docs.google.com/spreadsheets/d/19vJNZY_5yjcGF2XGBMNZRCAIB0Kwfpjp8YEOfu-bneM/edit?usp=sharing"",""งานกองทุน!C71"")"),20)</f>
        <v>20</v>
      </c>
      <c r="J822" s="269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113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IFERROR(__xludf.DUMMYFUNCTION("IMPORTRANGE(""https://docs.google.com/spreadsheets/d/19vJNZY_5yjcGF2XGBMNZRCAIB0Kwfpjp8YEOfu-bneM/edit?usp=sharing"",""งานกองทุน!I71"")"),0)</f>
        <v>0</v>
      </c>
      <c r="J823" s="269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113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IFERROR(__xludf.DUMMYFUNCTION("IMPORTRANGE(""https://docs.google.com/spreadsheets/d/19vJNZY_5yjcGF2XGBMNZRCAIB0Kwfpjp8YEOfu-bneM/edit?usp=sharing"",""งานกองทุน!H71"")"),0)</f>
        <v>0</v>
      </c>
      <c r="J824" s="269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113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69">
        <f ca="1">IFERROR(__xludf.DUMMYFUNCTION("IMPORTRANGE(""https://docs.google.com/spreadsheets/d/19vJNZY_5yjcGF2XGBMNZRCAIB0Kwfpjp8YEOfu-bneM/edit?usp=sharing"",""งานกองทุน!P71"")"),56375.25)</f>
        <v>56375.25</v>
      </c>
      <c r="K825" s="497">
        <f t="shared" ca="1" si="113"/>
        <v>80.743686516229374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IFERROR(__xludf.DUMMYFUNCTION("IMPORTRANGE(""https://docs.google.com/spreadsheets/d/19vJNZY_5yjcGF2XGBMNZRCAIB0Kwfpjp8YEOfu-bneM/edit?usp=sharing"",""งานกองทุน!M71"")"),24)</f>
        <v>24</v>
      </c>
      <c r="J826" s="269">
        <f ca="1">IFERROR(__xludf.DUMMYFUNCTION("IMPORTRANGE(""https://docs.google.com/spreadsheets/d/19vJNZY_5yjcGF2XGBMNZRCAIB0Kwfpjp8YEOfu-bneM/edit?usp=sharing"",""งานกองทุน!O71"")"),37)</f>
        <v>37</v>
      </c>
      <c r="K826" s="497">
        <f t="shared" ca="1" si="113"/>
        <v>154.16666666666666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IFERROR(__xludf.DUMMYFUNCTION("IMPORTRANGE(""https://docs.google.com/spreadsheets/d/19vJNZY_5yjcGF2XGBMNZRCAIB0Kwfpjp8YEOfu-bneM/edit?usp=sharing"",""งานกองทุน!S71"")"),560000)</f>
        <v>560000</v>
      </c>
      <c r="J827" s="269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113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7393-F6D7-4AA2-AEF1-5066C0E20D5D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362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6265418</v>
      </c>
      <c r="M8" s="21">
        <f ca="1">M9+M10</f>
        <v>6735721.9099999992</v>
      </c>
      <c r="N8" s="21">
        <f ca="1">N9+N10</f>
        <v>6735721.9099999992</v>
      </c>
      <c r="O8" s="21">
        <f t="shared" ref="O8:O16" ca="1" si="0">IF(L8&gt;0,N8*100/L8,0)</f>
        <v>107.50634530688932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6265418</v>
      </c>
      <c r="M10" s="29">
        <f t="shared" ca="1" si="2"/>
        <v>6735721.9099999992</v>
      </c>
      <c r="N10" s="29">
        <f t="shared" ca="1" si="2"/>
        <v>6735721.9099999992</v>
      </c>
      <c r="O10" s="29">
        <f t="shared" ca="1" si="0"/>
        <v>107.50634530688932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5981318</v>
      </c>
      <c r="M11" s="497">
        <f ca="1">M12+M13</f>
        <v>6464221.9099999992</v>
      </c>
      <c r="N11" s="497">
        <f ca="1">N12+N13</f>
        <v>6464221.9099999992</v>
      </c>
      <c r="O11" s="497">
        <f t="shared" ca="1" si="0"/>
        <v>108.07353680242379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5981318</v>
      </c>
      <c r="M13" s="92">
        <f t="shared" ca="1" si="3"/>
        <v>6464221.9099999992</v>
      </c>
      <c r="N13" s="92">
        <f t="shared" ca="1" si="3"/>
        <v>6464221.9099999992</v>
      </c>
      <c r="O13" s="92">
        <f t="shared" ca="1" si="0"/>
        <v>108.07353680242379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284100</v>
      </c>
      <c r="M14" s="497">
        <f ca="1">M15+M16</f>
        <v>271500</v>
      </c>
      <c r="N14" s="497">
        <f ca="1">N15+N16</f>
        <v>271500</v>
      </c>
      <c r="O14" s="497">
        <f t="shared" ca="1" si="0"/>
        <v>95.564941921858505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284100</v>
      </c>
      <c r="M16" s="51">
        <f t="shared" ca="1" si="4"/>
        <v>271500</v>
      </c>
      <c r="N16" s="51">
        <f t="shared" ca="1" si="4"/>
        <v>271500</v>
      </c>
      <c r="O16" s="51">
        <f t="shared" ca="1" si="0"/>
        <v>95.564941921858505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4523650</v>
      </c>
      <c r="M18" s="21">
        <f ca="1">M19+M20</f>
        <v>4995067.1899999995</v>
      </c>
      <c r="N18" s="21">
        <f ca="1">N19+N20</f>
        <v>4995067.1899999995</v>
      </c>
      <c r="O18" s="21">
        <f t="shared" ref="O18:O26" ca="1" si="5">IF(L18&gt;0,N18*100/L18,0)</f>
        <v>110.42116852541641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4523650</v>
      </c>
      <c r="M20" s="29">
        <f t="shared" ca="1" si="7"/>
        <v>4995067.1899999995</v>
      </c>
      <c r="N20" s="29">
        <f t="shared" ca="1" si="7"/>
        <v>4995067.1899999995</v>
      </c>
      <c r="O20" s="29">
        <f t="shared" ca="1" si="5"/>
        <v>110.42116852541641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4239550</v>
      </c>
      <c r="M21" s="497">
        <f ca="1">M22+M23</f>
        <v>4723567.1899999995</v>
      </c>
      <c r="N21" s="497">
        <f ca="1">N22+N23</f>
        <v>4723567.1899999995</v>
      </c>
      <c r="O21" s="497">
        <f t="shared" ca="1" si="5"/>
        <v>111.41671144343148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4239550</v>
      </c>
      <c r="M23" s="92">
        <f t="shared" ca="1" si="8"/>
        <v>4723567.1899999995</v>
      </c>
      <c r="N23" s="92">
        <f t="shared" ca="1" si="8"/>
        <v>4723567.1899999995</v>
      </c>
      <c r="O23" s="92">
        <f t="shared" ca="1" si="5"/>
        <v>111.41671144343148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284100</v>
      </c>
      <c r="M24" s="497">
        <f ca="1">M25+M26</f>
        <v>271500</v>
      </c>
      <c r="N24" s="497">
        <f ca="1">N25+N26</f>
        <v>271500</v>
      </c>
      <c r="O24" s="497">
        <f t="shared" ca="1" si="5"/>
        <v>95.564941921858505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284100</v>
      </c>
      <c r="M26" s="51">
        <f t="shared" ca="1" si="9"/>
        <v>271500</v>
      </c>
      <c r="N26" s="51">
        <f t="shared" ca="1" si="9"/>
        <v>271500</v>
      </c>
      <c r="O26" s="51">
        <f t="shared" ca="1" si="5"/>
        <v>95.564941921858505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1741768</v>
      </c>
      <c r="M28" s="21">
        <f ca="1">M29+M30</f>
        <v>1740654.72</v>
      </c>
      <c r="N28" s="21">
        <f>N29+N30</f>
        <v>1740654.72</v>
      </c>
      <c r="O28" s="21">
        <f t="shared" ref="O28:O37" ca="1" si="10">IF(L28&gt;0,N28*100/L28,0)</f>
        <v>99.936083336012601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1741768</v>
      </c>
      <c r="M30" s="29">
        <f t="shared" ca="1" si="12"/>
        <v>1740654.72</v>
      </c>
      <c r="N30" s="29">
        <f t="shared" si="12"/>
        <v>1740654.72</v>
      </c>
      <c r="O30" s="29">
        <f t="shared" ca="1" si="10"/>
        <v>99.936083336012601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1741768</v>
      </c>
      <c r="M31" s="497">
        <f ca="1">M32+M33</f>
        <v>1740654.72</v>
      </c>
      <c r="N31" s="497">
        <f>N32+N33</f>
        <v>1740654.72</v>
      </c>
      <c r="O31" s="497">
        <f t="shared" ca="1" si="10"/>
        <v>99.936083336012601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1741768</v>
      </c>
      <c r="M33" s="92">
        <f t="shared" ca="1" si="13"/>
        <v>1740654.72</v>
      </c>
      <c r="N33" s="92">
        <f t="shared" si="13"/>
        <v>1740654.72</v>
      </c>
      <c r="O33" s="92">
        <f t="shared" ca="1" si="10"/>
        <v>99.936083336012601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4523650</v>
      </c>
      <c r="M37" s="58">
        <f ca="1">M41+M53+M66+M88+M119+M132+M149+M165+M181+M261+M277+M298+M315+M328+M345+M389+M402</f>
        <v>4995067.1899999995</v>
      </c>
      <c r="N37" s="58">
        <f ca="1">N41+N53+N66+N88+N119+N132+N149+N165+N181+N261+N277+N298+N315+N328+N345+N389+N402</f>
        <v>4995067.1899999995</v>
      </c>
      <c r="O37" s="58">
        <f t="shared" ca="1" si="10"/>
        <v>110.42116852541641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801350</v>
      </c>
      <c r="M41" s="84">
        <f ca="1">M42+M43</f>
        <v>1085367.19</v>
      </c>
      <c r="N41" s="84">
        <f ca="1">N42+N43</f>
        <v>1085367.19</v>
      </c>
      <c r="O41" s="84">
        <f t="shared" ref="O41:O49" ca="1" si="15">IF(L41&gt;0,N41*100/L41,0)</f>
        <v>135.44233980158484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801350</v>
      </c>
      <c r="M43" s="91">
        <f t="shared" ca="1" si="17"/>
        <v>1085367.19</v>
      </c>
      <c r="N43" s="91">
        <f t="shared" ca="1" si="17"/>
        <v>1085367.19</v>
      </c>
      <c r="O43" s="91">
        <f t="shared" ca="1" si="15"/>
        <v>135.44233980158484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801350</v>
      </c>
      <c r="M44" s="497">
        <f ca="1">M45+M46</f>
        <v>1085367.19</v>
      </c>
      <c r="N44" s="497">
        <f ca="1">N45+N46</f>
        <v>1085367.19</v>
      </c>
      <c r="O44" s="497">
        <f t="shared" ca="1" si="15"/>
        <v>135.44233980158484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IFERROR(__xludf.DUMMYFUNCTION("IMPORTRANGE(""https://docs.google.com/spreadsheets/d/1MeEWN-I1oV_STSDYn1IFDPWt_1FKiwhDph83XaGc0o0/edit?usp=sharing"",""งบพรบ!M72"")"),801350)</f>
        <v>801350</v>
      </c>
      <c r="M46" s="92">
        <f ca="1">IFERROR(__xludf.DUMMYFUNCTION("IMPORTRANGE(""https://docs.google.com/spreadsheets/d/1MeEWN-I1oV_STSDYn1IFDPWt_1FKiwhDph83XaGc0o0/edit?usp=sharing"",""งบพรบ!R72"")"),1085367.19)</f>
        <v>1085367.19</v>
      </c>
      <c r="N46" s="92">
        <f ca="1">IFERROR(__xludf.DUMMYFUNCTION("IMPORTRANGE(""https://docs.google.com/spreadsheets/d/1MeEWN-I1oV_STSDYn1IFDPWt_1FKiwhDph83XaGc0o0/edit?usp=sharing"",""งบพรบ!T72"")"),1085367.19)</f>
        <v>1085367.19</v>
      </c>
      <c r="O46" s="92">
        <f t="shared" ca="1" si="15"/>
        <v>135.44233980158484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IFERROR(__xludf.DUMMYFUNCTION("IMPORTRANGE(""https://docs.google.com/spreadsheets/d/1MeEWN-I1oV_STSDYn1IFDPWt_1FKiwhDph83XaGc0o0/edit?usp=sharing"",""งบพรบ!P72"")"),0)</f>
        <v>0</v>
      </c>
      <c r="M49" s="51">
        <f ca="1">IFERROR(__xludf.DUMMYFUNCTION("IMPORTRANGE(""https://docs.google.com/spreadsheets/d/1MeEWN-I1oV_STSDYn1IFDPWt_1FKiwhDph83XaGc0o0/edit?usp=sharing"",""งบพรบ!S72"")"),0)</f>
        <v>0</v>
      </c>
      <c r="N49" s="51">
        <f ca="1">IFERROR(__xludf.DUMMYFUNCTION("IMPORTRANGE(""https://docs.google.com/spreadsheets/d/1MeEWN-I1oV_STSDYn1IFDPWt_1FKiwhDph83XaGc0o0/edit?usp=sharing"",""งบพรบ!U72"")"),0)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993400</v>
      </c>
      <c r="M53" s="115">
        <f ca="1">M54+M55</f>
        <v>991700</v>
      </c>
      <c r="N53" s="115">
        <f ca="1">N54+N55</f>
        <v>991700</v>
      </c>
      <c r="O53" s="115">
        <f t="shared" ref="O53:O61" ca="1" si="18">IF(L53&gt;0,N53*100/L53,0)</f>
        <v>99.828870545600964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993400</v>
      </c>
      <c r="M55" s="122">
        <f t="shared" ca="1" si="20"/>
        <v>991700</v>
      </c>
      <c r="N55" s="122">
        <f t="shared" ca="1" si="20"/>
        <v>991700</v>
      </c>
      <c r="O55" s="122">
        <f t="shared" ca="1" si="18"/>
        <v>99.828870545600964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852900</v>
      </c>
      <c r="M56" s="497">
        <f ca="1">M57+M58</f>
        <v>863800</v>
      </c>
      <c r="N56" s="497">
        <f ca="1">N57+N58</f>
        <v>863800</v>
      </c>
      <c r="O56" s="497">
        <f t="shared" ca="1" si="18"/>
        <v>101.27799273068355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IFERROR(__xludf.DUMMYFUNCTION("IMPORTRANGE(""https://docs.google.com/spreadsheets/d/1MeEWN-I1oV_STSDYn1IFDPWt_1FKiwhDph83XaGc0o0/edit?usp=sharing"",""งบพรบ!W72"")"),852900)</f>
        <v>852900</v>
      </c>
      <c r="M58" s="92">
        <f ca="1">IFERROR(__xludf.DUMMYFUNCTION("IMPORTRANGE(""https://docs.google.com/spreadsheets/d/1MeEWN-I1oV_STSDYn1IFDPWt_1FKiwhDph83XaGc0o0/edit?usp=sharing"",""งบพรบ!AB72"")"),863800)</f>
        <v>863800</v>
      </c>
      <c r="N58" s="92">
        <f ca="1">IFERROR(__xludf.DUMMYFUNCTION("IMPORTRANGE(""https://docs.google.com/spreadsheets/d/1MeEWN-I1oV_STSDYn1IFDPWt_1FKiwhDph83XaGc0o0/edit?usp=sharing"",""งบพรบ!AD72"")"),863800)</f>
        <v>863800</v>
      </c>
      <c r="O58" s="92">
        <f t="shared" ca="1" si="18"/>
        <v>101.27799273068355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140500</v>
      </c>
      <c r="M59" s="497">
        <f ca="1">M60+M61</f>
        <v>127900</v>
      </c>
      <c r="N59" s="497">
        <f ca="1">N60+N61</f>
        <v>127900</v>
      </c>
      <c r="O59" s="497">
        <f t="shared" ca="1" si="18"/>
        <v>91.032028469750884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IFERROR(__xludf.DUMMYFUNCTION("IMPORTRANGE(""https://docs.google.com/spreadsheets/d/1MeEWN-I1oV_STSDYn1IFDPWt_1FKiwhDph83XaGc0o0/edit?usp=sharing"",""งบพรบ!Z72"")"),140500)</f>
        <v>140500</v>
      </c>
      <c r="M61" s="51">
        <f ca="1">IFERROR(__xludf.DUMMYFUNCTION("IMPORTRANGE(""https://docs.google.com/spreadsheets/d/1MeEWN-I1oV_STSDYn1IFDPWt_1FKiwhDph83XaGc0o0/edit?usp=sharing"",""งบพรบ!AC72"")"),127900)</f>
        <v>127900</v>
      </c>
      <c r="N61" s="51">
        <f ca="1">IFERROR(__xludf.DUMMYFUNCTION("IMPORTRANGE(""https://docs.google.com/spreadsheets/d/1MeEWN-I1oV_STSDYn1IFDPWt_1FKiwhDph83XaGc0o0/edit?usp=sharing"",""งบพรบ!AE72"")"),127900)</f>
        <v>127900</v>
      </c>
      <c r="O61" s="51">
        <f t="shared" ca="1" si="18"/>
        <v>91.032028469750884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94</v>
      </c>
      <c r="J65" s="143">
        <f>J77</f>
        <v>94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1114000</v>
      </c>
      <c r="M66" s="154">
        <f ca="1">M67+M68</f>
        <v>1114000</v>
      </c>
      <c r="N66" s="154">
        <f ca="1">N67+N68</f>
        <v>1114000</v>
      </c>
      <c r="O66" s="154">
        <f t="shared" ref="O66:O74" ca="1" si="21">IF(L66&gt;0,N66*100/L66,0)</f>
        <v>100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1114000</v>
      </c>
      <c r="M68" s="92">
        <f t="shared" ca="1" si="23"/>
        <v>1114000</v>
      </c>
      <c r="N68" s="92">
        <f t="shared" ca="1" si="23"/>
        <v>1114000</v>
      </c>
      <c r="O68" s="92">
        <f t="shared" ca="1" si="21"/>
        <v>100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1114000</v>
      </c>
      <c r="M69" s="497">
        <f ca="1">M70+M71</f>
        <v>1114000</v>
      </c>
      <c r="N69" s="497">
        <f ca="1">N70+N71</f>
        <v>1114000</v>
      </c>
      <c r="O69" s="497">
        <f t="shared" ca="1" si="21"/>
        <v>100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IFERROR(__xludf.DUMMYFUNCTION("IMPORTRANGE(""https://docs.google.com/spreadsheets/d/1MeEWN-I1oV_STSDYn1IFDPWt_1FKiwhDph83XaGc0o0/edit?usp=sharing"",""งบพรบ!AG72"")"),1114000)</f>
        <v>1114000</v>
      </c>
      <c r="M71" s="92">
        <f ca="1">IFERROR(__xludf.DUMMYFUNCTION("IMPORTRANGE(""https://docs.google.com/spreadsheets/d/1MeEWN-I1oV_STSDYn1IFDPWt_1FKiwhDph83XaGc0o0/edit?usp=sharing"",""งบพรบ!AL72"")"),1114000)</f>
        <v>1114000</v>
      </c>
      <c r="N71" s="92">
        <f ca="1">IFERROR(__xludf.DUMMYFUNCTION("IMPORTRANGE(""https://docs.google.com/spreadsheets/d/1MeEWN-I1oV_STSDYn1IFDPWt_1FKiwhDph83XaGc0o0/edit?usp=sharing"",""งบพรบ!AN72"")"),1114000)</f>
        <v>1114000</v>
      </c>
      <c r="O71" s="92">
        <f t="shared" ca="1" si="21"/>
        <v>100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IFERROR(__xludf.DUMMYFUNCTION("IMPORTRANGE(""https://docs.google.com/spreadsheets/d/1MeEWN-I1oV_STSDYn1IFDPWt_1FKiwhDph83XaGc0o0/edit?usp=sharing"",""งบพรบ!AJ72"")"),0)</f>
        <v>0</v>
      </c>
      <c r="M74" s="92">
        <f ca="1">IFERROR(__xludf.DUMMYFUNCTION("IMPORTRANGE(""https://docs.google.com/spreadsheets/d/1MeEWN-I1oV_STSDYn1IFDPWt_1FKiwhDph83XaGc0o0/edit?usp=sharing"",""งบพรบ!AM72"")"),0)</f>
        <v>0</v>
      </c>
      <c r="N74" s="92">
        <f ca="1">IFERROR(__xludf.DUMMYFUNCTION("IMPORTRANGE(""https://docs.google.com/spreadsheets/d/1MeEWN-I1oV_STSDYn1IFDPWt_1FKiwhDph83XaGc0o0/edit?usp=sharing"",""งบพรบ!AO72"")"),0)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94</v>
      </c>
      <c r="J77" s="269">
        <f>J79+J81+J83</f>
        <v>94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IFERROR(__xludf.DUMMYFUNCTION("IMPORTRANGE(""https://docs.google.com/spreadsheets/d/1QqKyyYR6Q21VydFLVH3TRQUabQu_ym0Zz7PgGX0-kHA/edit?usp=sharing"",""แผน!H72"")"),2)</f>
        <v>2</v>
      </c>
      <c r="J78" s="214">
        <v>2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IFERROR(__xludf.DUMMYFUNCTION("IMPORTRANGE(""https://docs.google.com/spreadsheets/d/1QqKyyYR6Q21VydFLVH3TRQUabQu_ym0Zz7PgGX0-kHA/edit?usp=sharing"",""แผน!I72"")"),94)</f>
        <v>94</v>
      </c>
      <c r="J79" s="214">
        <v>94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IFERROR(__xludf.DUMMYFUNCTION("IMPORTRANGE(""https://docs.google.com/spreadsheets/d/1QqKyyYR6Q21VydFLVH3TRQUabQu_ym0Zz7PgGX0-kHA/edit?usp=sharing"",""แผน!F72"")"),0)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IFERROR(__xludf.DUMMYFUNCTION("IMPORTRANGE(""https://docs.google.com/spreadsheets/d/1QqKyyYR6Q21VydFLVH3TRQUabQu_ym0Zz7PgGX0-kHA/edit?usp=sharing"",""แผน!G72"")"),0)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IFERROR(__xludf.DUMMYFUNCTION("IMPORTRANGE(""https://docs.google.com/spreadsheets/d/1QqKyyYR6Q21VydFLVH3TRQUabQu_ym0Zz7PgGX0-kHA/edit?usp=sharing"",""แผน!D72"")"),0)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IFERROR(__xludf.DUMMYFUNCTION("IMPORTRANGE(""https://docs.google.com/spreadsheets/d/1QqKyyYR6Q21VydFLVH3TRQUabQu_ym0Zz7PgGX0-kHA/edit?usp=sharing"",""แผน!E72"")"),0)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IFERROR(__xludf.DUMMYFUNCTION("IMPORTRANGE(""https://docs.google.com/spreadsheets/d/1QqKyyYR6Q21VydFLVH3TRQUabQu_ym0Zz7PgGX0-kHA/edit?usp=sharing"",""แผน!J72"")"),2)</f>
        <v>2</v>
      </c>
      <c r="J84" s="214">
        <v>2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116140</v>
      </c>
      <c r="M88" s="154">
        <f ca="1">M89+M90</f>
        <v>116140</v>
      </c>
      <c r="N88" s="154">
        <f ca="1">N89+N90</f>
        <v>116140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116140</v>
      </c>
      <c r="M90" s="92">
        <f t="shared" ca="1" si="27"/>
        <v>116140</v>
      </c>
      <c r="N90" s="92">
        <f t="shared" ca="1" si="27"/>
        <v>116140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116140</v>
      </c>
      <c r="M91" s="497">
        <f ca="1">M92+M93</f>
        <v>116140</v>
      </c>
      <c r="N91" s="497">
        <f ca="1">N92+N93</f>
        <v>116140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IFERROR(__xludf.DUMMYFUNCTION("IMPORTRANGE(""https://docs.google.com/spreadsheets/d/1MeEWN-I1oV_STSDYn1IFDPWt_1FKiwhDph83XaGc0o0/edit?usp=sharing"",""งบพรบ!AQ72"")"),116140)</f>
        <v>116140</v>
      </c>
      <c r="M93" s="92">
        <f ca="1">IFERROR(__xludf.DUMMYFUNCTION("IMPORTRANGE(""https://docs.google.com/spreadsheets/d/1MeEWN-I1oV_STSDYn1IFDPWt_1FKiwhDph83XaGc0o0/edit?usp=sharing"",""งบพรบ!AV72"")"),116140)</f>
        <v>116140</v>
      </c>
      <c r="N93" s="92">
        <f ca="1">IFERROR(__xludf.DUMMYFUNCTION("IMPORTRANGE(""https://docs.google.com/spreadsheets/d/1MeEWN-I1oV_STSDYn1IFDPWt_1FKiwhDph83XaGc0o0/edit?usp=sharing"",""งบพรบ!AX72"")"),116140)</f>
        <v>116140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IFERROR(__xludf.DUMMYFUNCTION("IMPORTRANGE(""https://docs.google.com/spreadsheets/d/1MeEWN-I1oV_STSDYn1IFDPWt_1FKiwhDph83XaGc0o0/edit?usp=sharing"",""งบพรบ!AT72"")"),0)</f>
        <v>0</v>
      </c>
      <c r="M96" s="92">
        <f ca="1">IFERROR(__xludf.DUMMYFUNCTION("IMPORTRANGE(""https://docs.google.com/spreadsheets/d/1MeEWN-I1oV_STSDYn1IFDPWt_1FKiwhDph83XaGc0o0/edit?usp=sharing"",""งบพรบ!AW72"")"),0)</f>
        <v>0</v>
      </c>
      <c r="N96" s="92">
        <f ca="1">IFERROR(__xludf.DUMMYFUNCTION("IMPORTRANGE(""https://docs.google.com/spreadsheets/d/1MeEWN-I1oV_STSDYn1IFDPWt_1FKiwhDph83XaGc0o0/edit?usp=sharing"",""งบพรบ!AY72"")"),0)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IFERROR(__xludf.DUMMYFUNCTION("IMPORTRANGE(""https://docs.google.com/spreadsheets/d/1QqKyyYR6Q21VydFLVH3TRQUabQu_ym0Zz7PgGX0-kHA/edit?usp=sharing"",""แผน!K72"")"),30)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IFERROR(__xludf.DUMMYFUNCTION("IMPORTRANGE(""https://docs.google.com/spreadsheets/d/1QqKyyYR6Q21VydFLVH3TRQUabQu_ym0Zz7PgGX0-kHA/edit?usp=sharing"",""แผน!L72"")"),10)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IFERROR(__xludf.DUMMYFUNCTION("IMPORTRANGE(""https://docs.google.com/spreadsheets/d/1QqKyyYR6Q21VydFLVH3TRQUabQu_ym0Zz7PgGX0-kHA/edit?usp=sharing"",""แผน!M72"")"),3)</f>
        <v>3</v>
      </c>
      <c r="J100" s="269">
        <f>J107+J110</f>
        <v>3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IFERROR(__xludf.DUMMYFUNCTION("IMPORTRANGE(""https://docs.google.com/spreadsheets/d/1QqKyyYR6Q21VydFLVH3TRQUabQu_ym0Zz7PgGX0-kHA/edit?usp=sharing"",""แผน!N72"")"),30)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IFERROR(__xludf.DUMMYFUNCTION("IMPORTRANGE(""https://docs.google.com/spreadsheets/d/1QqKyyYR6Q21VydFLVH3TRQUabQu_ym0Zz7PgGX0-kHA/edit?usp=sharing"",""แผน!O72"")"),10)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IFERROR(__xludf.DUMMYFUNCTION("IMPORTRANGE(""https://docs.google.com/spreadsheets/d/1QqKyyYR6Q21VydFLVH3TRQUabQu_ym0Zz7PgGX0-kHA/edit?usp=sharing"",""แผน!O72"")"),10)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IFERROR(__xludf.DUMMYFUNCTION("IMPORTRANGE(""https://docs.google.com/spreadsheets/d/1QqKyyYR6Q21VydFLVH3TRQUabQu_ym0Zz7PgGX0-kHA/edit?usp=sharing"",""แผน!P72"")"),2)</f>
        <v>2</v>
      </c>
      <c r="J106" s="214">
        <v>2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IFERROR(__xludf.DUMMYFUNCTION("IMPORTRANGE(""https://docs.google.com/spreadsheets/d/1QqKyyYR6Q21VydFLVH3TRQUabQu_ym0Zz7PgGX0-kHA/edit?usp=sharing"",""แผน!P72"")"),2)</f>
        <v>2</v>
      </c>
      <c r="J107" s="214">
        <v>2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IFERROR(__xludf.DUMMYFUNCTION("IMPORTRANGE(""https://docs.google.com/spreadsheets/d/1QqKyyYR6Q21VydFLVH3TRQUabQu_ym0Zz7PgGX0-kHA/edit?usp=sharing"",""แผน!Q72"")"),1)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IFERROR(__xludf.DUMMYFUNCTION("IMPORTRANGE(""https://docs.google.com/spreadsheets/d/1QqKyyYR6Q21VydFLVH3TRQUabQu_ym0Zz7PgGX0-kHA/edit?usp=sharing"",""แผน!Q72"")"),1)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3</v>
      </c>
      <c r="J112" s="676">
        <f>J115+J116</f>
        <v>3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IFERROR(__xludf.DUMMYFUNCTION("IMPORTRANGE(""https://docs.google.com/spreadsheets/d/1QqKyyYR6Q21VydFLVH3TRQUabQu_ym0Zz7PgGX0-kHA/edit?usp=sharing"",""แผน!R72"")"),10)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IFERROR(__xludf.DUMMYFUNCTION("IMPORTRANGE(""https://docs.google.com/spreadsheets/d/1QqKyyYR6Q21VydFLVH3TRQUabQu_ym0Zz7PgGX0-kHA/edit?usp=sharing"",""แผน!R72"")"),10)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IFERROR(__xludf.DUMMYFUNCTION("IMPORTRANGE(""https://docs.google.com/spreadsheets/d/1QqKyyYR6Q21VydFLVH3TRQUabQu_ym0Zz7PgGX0-kHA/edit?usp=sharing"",""แผน!S72"")"),2)</f>
        <v>2</v>
      </c>
      <c r="J115" s="214">
        <v>2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IFERROR(__xludf.DUMMYFUNCTION("IMPORTRANGE(""https://docs.google.com/spreadsheets/d/1QqKyyYR6Q21VydFLVH3TRQUabQu_ym0Zz7PgGX0-kHA/edit?usp=sharing"",""แผน!T72"")"),1)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IFERROR(__xludf.DUMMYFUNCTION("IMPORTRANGE(""https://docs.google.com/spreadsheets/d/1MeEWN-I1oV_STSDYn1IFDPWt_1FKiwhDph83XaGc0o0/edit?usp=sharing"",""งบพรบ!BA72"")"),0)</f>
        <v>0</v>
      </c>
      <c r="M124" s="92">
        <f ca="1">IFERROR(__xludf.DUMMYFUNCTION("IMPORTRANGE(""https://docs.google.com/spreadsheets/d/1MeEWN-I1oV_STSDYn1IFDPWt_1FKiwhDph83XaGc0o0/edit?usp=sharing"",""งบพรบ!BF72"")"),0)</f>
        <v>0</v>
      </c>
      <c r="N124" s="92">
        <f ca="1">IFERROR(__xludf.DUMMYFUNCTION("IMPORTRANGE(""https://docs.google.com/spreadsheets/d/1MeEWN-I1oV_STSDYn1IFDPWt_1FKiwhDph83XaGc0o0/edit?usp=sharing"",""งบพรบ!BH72"")"),0)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IFERROR(__xludf.DUMMYFUNCTION("IMPORTRANGE(""https://docs.google.com/spreadsheets/d/1MeEWN-I1oV_STSDYn1IFDPWt_1FKiwhDph83XaGc0o0/edit?usp=sharing"",""งบพรบ!BD72"")"),0)</f>
        <v>0</v>
      </c>
      <c r="M127" s="92">
        <f ca="1">IFERROR(__xludf.DUMMYFUNCTION("IMPORTRANGE(""https://docs.google.com/spreadsheets/d/1MeEWN-I1oV_STSDYn1IFDPWt_1FKiwhDph83XaGc0o0/edit?usp=sharing"",""งบพรบ!BG72"")"),0)</f>
        <v>0</v>
      </c>
      <c r="N127" s="92">
        <f ca="1">IFERROR(__xludf.DUMMYFUNCTION("IMPORTRANGE(""https://docs.google.com/spreadsheets/d/1MeEWN-I1oV_STSDYn1IFDPWt_1FKiwhDph83XaGc0o0/edit?usp=sharing"",""งบพรบ!BI72"")"),0)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IFERROR(__xludf.DUMMYFUNCTION("IMPORTRANGE(""https://docs.google.com/spreadsheets/d/1MeEWN-I1oV_STSDYn1IFDPWt_1FKiwhDph83XaGc0o0/edit?usp=sharing"",""งบพรบ!BK72"")"),0)</f>
        <v>0</v>
      </c>
      <c r="M137" s="92">
        <f ca="1">IFERROR(__xludf.DUMMYFUNCTION("IMPORTRANGE(""https://docs.google.com/spreadsheets/d/1MeEWN-I1oV_STSDYn1IFDPWt_1FKiwhDph83XaGc0o0/edit?usp=sharing"",""งบพรบ!BP72"")"),0)</f>
        <v>0</v>
      </c>
      <c r="N137" s="92">
        <f ca="1">IFERROR(__xludf.DUMMYFUNCTION("IMPORTRANGE(""https://docs.google.com/spreadsheets/d/1MeEWN-I1oV_STSDYn1IFDPWt_1FKiwhDph83XaGc0o0/edit?usp=sharing"",""งบพรบ!BR72"")"),0)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IFERROR(__xludf.DUMMYFUNCTION("IMPORTRANGE(""https://docs.google.com/spreadsheets/d/1MeEWN-I1oV_STSDYn1IFDPWt_1FKiwhDph83XaGc0o0/edit?usp=sharing"",""งบพรบ!BN72"")"),0)</f>
        <v>0</v>
      </c>
      <c r="M140" s="92">
        <f ca="1">IFERROR(__xludf.DUMMYFUNCTION("IMPORTRANGE(""https://docs.google.com/spreadsheets/d/1MeEWN-I1oV_STSDYn1IFDPWt_1FKiwhDph83XaGc0o0/edit?usp=sharing"",""งบพรบ!BQ72"")"),0)</f>
        <v>0</v>
      </c>
      <c r="N140" s="92">
        <f ca="1">IFERROR(__xludf.DUMMYFUNCTION("IMPORTRANGE(""https://docs.google.com/spreadsheets/d/1MeEWN-I1oV_STSDYn1IFDPWt_1FKiwhDph83XaGc0o0/edit?usp=sharing"",""งบพรบ!BS72"")"),0)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IFERROR(__xludf.DUMMYFUNCTION("IMPORTRANGE(""https://docs.google.com/spreadsheets/d/1QqKyyYR6Q21VydFLVH3TRQUabQu_ym0Zz7PgGX0-kHA/edit?usp=sharing"",""แผน!U72"")"),0)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IFERROR(__xludf.DUMMYFUNCTION("IMPORTRANGE(""https://docs.google.com/spreadsheets/d/1QqKyyYR6Q21VydFLVH3TRQUabQu_ym0Zz7PgGX0-kHA/edit?usp=sharing"",""แผน!V72"")"),0)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IFERROR(__xludf.DUMMYFUNCTION("IMPORTRANGE(""https://docs.google.com/spreadsheets/d/1QqKyyYR6Q21VydFLVH3TRQUabQu_ym0Zz7PgGX0-kHA/edit?usp=sharing"",""แผน!W72"")"),0)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15</v>
      </c>
      <c r="J148" s="143">
        <f>J159</f>
        <v>15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7500</v>
      </c>
      <c r="M149" s="154">
        <f ca="1">M150+M151</f>
        <v>7500</v>
      </c>
      <c r="N149" s="154">
        <f ca="1">N150+N151</f>
        <v>7500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7500</v>
      </c>
      <c r="M151" s="92">
        <f t="shared" ca="1" si="37"/>
        <v>7500</v>
      </c>
      <c r="N151" s="92">
        <f t="shared" ca="1" si="37"/>
        <v>7500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7500</v>
      </c>
      <c r="M152" s="497">
        <f ca="1">M153+M154</f>
        <v>7500</v>
      </c>
      <c r="N152" s="497">
        <f ca="1">N153+N154</f>
        <v>7500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IFERROR(__xludf.DUMMYFUNCTION("IMPORTRANGE(""https://docs.google.com/spreadsheets/d/1MeEWN-I1oV_STSDYn1IFDPWt_1FKiwhDph83XaGc0o0/edit?usp=sharing"",""งบพรบ!BU72"")"),7500)</f>
        <v>7500</v>
      </c>
      <c r="M154" s="92">
        <f ca="1">IFERROR(__xludf.DUMMYFUNCTION("IMPORTRANGE(""https://docs.google.com/spreadsheets/d/1MeEWN-I1oV_STSDYn1IFDPWt_1FKiwhDph83XaGc0o0/edit?usp=sharing"",""งบพรบ!BZ72"")"),7500)</f>
        <v>7500</v>
      </c>
      <c r="N154" s="92">
        <f ca="1">IFERROR(__xludf.DUMMYFUNCTION("IMPORTRANGE(""https://docs.google.com/spreadsheets/d/1MeEWN-I1oV_STSDYn1IFDPWt_1FKiwhDph83XaGc0o0/edit?usp=sharing"",""งบพรบ!CB72"")"),7500)</f>
        <v>7500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IFERROR(__xludf.DUMMYFUNCTION("IMPORTRANGE(""https://docs.google.com/spreadsheets/d/1MeEWN-I1oV_STSDYn1IFDPWt_1FKiwhDph83XaGc0o0/edit?usp=sharing"",""งบพรบ!BX72"")"),0)</f>
        <v>0</v>
      </c>
      <c r="M157" s="92">
        <f ca="1">IFERROR(__xludf.DUMMYFUNCTION("IMPORTRANGE(""https://docs.google.com/spreadsheets/d/1MeEWN-I1oV_STSDYn1IFDPWt_1FKiwhDph83XaGc0o0/edit?usp=sharing"",""งบพรบ!CA72"")"),0)</f>
        <v>0</v>
      </c>
      <c r="N157" s="92">
        <f ca="1">IFERROR(__xludf.DUMMYFUNCTION("IMPORTRANGE(""https://docs.google.com/spreadsheets/d/1MeEWN-I1oV_STSDYn1IFDPWt_1FKiwhDph83XaGc0o0/edit?usp=sharing"",""งบพรบ!CC72"")"),0)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IFERROR(__xludf.DUMMYFUNCTION("IMPORTRANGE(""https://docs.google.com/spreadsheets/d/1QqKyyYR6Q21VydFLVH3TRQUabQu_ym0Zz7PgGX0-kHA/edit?usp=sharing"",""แผน!X72"")"),15)</f>
        <v>15</v>
      </c>
      <c r="J159" s="214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45550</v>
      </c>
      <c r="N165" s="154">
        <f ca="1">N166+N167</f>
        <v>45550</v>
      </c>
      <c r="O165" s="154">
        <f t="shared" ref="O165:O173" ca="1" si="38">IF(L165&gt;0,N165*100/L165,0)</f>
        <v>197.52818733738076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45550</v>
      </c>
      <c r="N167" s="92">
        <f t="shared" ca="1" si="40"/>
        <v>45550</v>
      </c>
      <c r="O167" s="92">
        <f t="shared" ca="1" si="38"/>
        <v>197.52818733738076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45550</v>
      </c>
      <c r="N168" s="497">
        <f ca="1">N169+N170</f>
        <v>45550</v>
      </c>
      <c r="O168" s="497">
        <f t="shared" ca="1" si="38"/>
        <v>197.52818733738076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IFERROR(__xludf.DUMMYFUNCTION("IMPORTRANGE(""https://docs.google.com/spreadsheets/d/1MeEWN-I1oV_STSDYn1IFDPWt_1FKiwhDph83XaGc0o0/edit?usp=sharing"",""งบพรบ!CE72"")"),23060)</f>
        <v>23060</v>
      </c>
      <c r="M170" s="92">
        <f ca="1">IFERROR(__xludf.DUMMYFUNCTION("IMPORTRANGE(""https://docs.google.com/spreadsheets/d/1MeEWN-I1oV_STSDYn1IFDPWt_1FKiwhDph83XaGc0o0/edit?usp=sharing"",""งบพรบ!CJ72"")"),45550)</f>
        <v>45550</v>
      </c>
      <c r="N170" s="92">
        <f ca="1">IFERROR(__xludf.DUMMYFUNCTION("IMPORTRANGE(""https://docs.google.com/spreadsheets/d/1MeEWN-I1oV_STSDYn1IFDPWt_1FKiwhDph83XaGc0o0/edit?usp=sharing"",""งบพรบ!CL72"")"),45550)</f>
        <v>45550</v>
      </c>
      <c r="O170" s="92">
        <f t="shared" ca="1" si="38"/>
        <v>197.52818733738076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IFERROR(__xludf.DUMMYFUNCTION("IMPORTRANGE(""https://docs.google.com/spreadsheets/d/1MeEWN-I1oV_STSDYn1IFDPWt_1FKiwhDph83XaGc0o0/edit?usp=sharing"",""งบพรบ!CH72"")"),0)</f>
        <v>0</v>
      </c>
      <c r="M173" s="92">
        <f ca="1">IFERROR(__xludf.DUMMYFUNCTION("IMPORTRANGE(""https://docs.google.com/spreadsheets/d/1MeEWN-I1oV_STSDYn1IFDPWt_1FKiwhDph83XaGc0o0/edit?usp=sharing"",""งบพรบ!CK72"")"),0)</f>
        <v>0</v>
      </c>
      <c r="N173" s="92">
        <f ca="1">IFERROR(__xludf.DUMMYFUNCTION("IMPORTRANGE(""https://docs.google.com/spreadsheets/d/1MeEWN-I1oV_STSDYn1IFDPWt_1FKiwhDph83XaGc0o0/edit?usp=sharing"",""งบพรบ!CM72"")"),0)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IFERROR(__xludf.DUMMYFUNCTION("IMPORTRANGE(""https://docs.google.com/spreadsheets/d/1QqKyyYR6Q21VydFLVH3TRQUabQu_ym0Zz7PgGX0-kHA/edit?usp=sharing"",""แผน!Y72"")"),12)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27000</v>
      </c>
      <c r="M181" s="154">
        <f ca="1">M182+M183</f>
        <v>27000</v>
      </c>
      <c r="N181" s="154">
        <f ca="1">N182+N183</f>
        <v>27000</v>
      </c>
      <c r="O181" s="154">
        <f t="shared" ref="O181:O189" ca="1" si="41">IF(L181&gt;0,N181*100/L181,0)</f>
        <v>100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27000</v>
      </c>
      <c r="M183" s="92">
        <f t="shared" ca="1" si="43"/>
        <v>27000</v>
      </c>
      <c r="N183" s="92">
        <f t="shared" ca="1" si="43"/>
        <v>27000</v>
      </c>
      <c r="O183" s="92">
        <f t="shared" ca="1" si="41"/>
        <v>100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27000</v>
      </c>
      <c r="M184" s="497">
        <f ca="1">M185+M186</f>
        <v>27000</v>
      </c>
      <c r="N184" s="497">
        <f ca="1">N185+N186</f>
        <v>27000</v>
      </c>
      <c r="O184" s="497">
        <f t="shared" ca="1" si="41"/>
        <v>100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IFERROR(__xludf.DUMMYFUNCTION("IMPORTRANGE(""https://docs.google.com/spreadsheets/d/1MeEWN-I1oV_STSDYn1IFDPWt_1FKiwhDph83XaGc0o0/edit?usp=sharing"",""งบพรบ!CO72"")"),27000)</f>
        <v>27000</v>
      </c>
      <c r="M186" s="92">
        <f ca="1">IFERROR(__xludf.DUMMYFUNCTION("IMPORTRANGE(""https://docs.google.com/spreadsheets/d/1MeEWN-I1oV_STSDYn1IFDPWt_1FKiwhDph83XaGc0o0/edit?usp=sharing"",""งบพรบ!CT72"")"),27000)</f>
        <v>27000</v>
      </c>
      <c r="N186" s="92">
        <f ca="1">IFERROR(__xludf.DUMMYFUNCTION("IMPORTRANGE(""https://docs.google.com/spreadsheets/d/1MeEWN-I1oV_STSDYn1IFDPWt_1FKiwhDph83XaGc0o0/edit?usp=sharing"",""งบพรบ!CV72"")"),27000)</f>
        <v>27000</v>
      </c>
      <c r="O186" s="92">
        <f t="shared" ca="1" si="41"/>
        <v>100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IFERROR(__xludf.DUMMYFUNCTION("IMPORTRANGE(""https://docs.google.com/spreadsheets/d/1MeEWN-I1oV_STSDYn1IFDPWt_1FKiwhDph83XaGc0o0/edit?usp=sharing"",""งบพรบ!CR72"")"),0)</f>
        <v>0</v>
      </c>
      <c r="M189" s="92">
        <f ca="1">IFERROR(__xludf.DUMMYFUNCTION("IMPORTRANGE(""https://docs.google.com/spreadsheets/d/1MeEWN-I1oV_STSDYn1IFDPWt_1FKiwhDph83XaGc0o0/edit?usp=sharing"",""งบพรบ!CU72"")"),0)</f>
        <v>0</v>
      </c>
      <c r="N189" s="92">
        <f ca="1">IFERROR(__xludf.DUMMYFUNCTION("IMPORTRANGE(""https://docs.google.com/spreadsheets/d/1MeEWN-I1oV_STSDYn1IFDPWt_1FKiwhDph83XaGc0o0/edit?usp=sharing"",""งบพรบ!CW72"")"),0)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IFERROR(__xludf.DUMMYFUNCTION("IMPORTRANGE(""https://docs.google.com/spreadsheets/d/1QqKyyYR6Q21VydFLVH3TRQUabQu_ym0Zz7PgGX0-kHA/edit?usp=sharing"",""แผน!Z72"")"),6000)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IFERROR(__xludf.DUMMYFUNCTION("IMPORTRANGE(""https://docs.google.com/spreadsheets/d/1QqKyyYR6Q21VydFLVH3TRQUabQu_ym0Zz7PgGX0-kHA/edit?usp=sharing"",""แผน!AC72"")"),4)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150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150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IFERROR(__xludf.DUMMYFUNCTION("IMPORTRANGE(""https://docs.google.com/spreadsheets/d/1QqKyyYR6Q21VydFLVH3TRQUabQu_ym0Zz7PgGX0-kHA/edit?usp=sharing"",""แผน!AI72"")"),1)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IFERROR(__xludf.DUMMYFUNCTION("IMPORTRANGE(""https://docs.google.com/spreadsheets/d/1QqKyyYR6Q21VydFLVH3TRQUabQu_ym0Zz7PgGX0-kHA/edit?usp=sharing"",""แผน!AN72"")"),0)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IFERROR(__xludf.DUMMYFUNCTION("IMPORTRANGE(""https://docs.google.com/spreadsheets/d/1QqKyyYR6Q21VydFLVH3TRQUabQu_ym0Zz7PgGX0-kHA/edit?usp=sharing"",""แผน!AN72"")"),0)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20000</v>
      </c>
      <c r="J216" s="271">
        <f>J224</f>
        <v>20000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8000</v>
      </c>
      <c r="M217" s="154"/>
      <c r="N217" s="154">
        <f>N218+N219+N220</f>
        <v>8000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3">
        <v>3200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3">
        <v>4800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IFERROR(__xludf.DUMMYFUNCTION("IMPORTRANGE(""https://docs.google.com/spreadsheets/d/1QqKyyYR6Q21VydFLVH3TRQUabQu_ym0Zz7PgGX0-kHA/edit?usp=sharing"",""แผน!AT72"")"),20000)</f>
        <v>20000</v>
      </c>
      <c r="J223" s="214">
        <v>20000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IFERROR(__xludf.DUMMYFUNCTION("IMPORTRANGE(""https://docs.google.com/spreadsheets/d/1QqKyyYR6Q21VydFLVH3TRQUabQu_ym0Zz7PgGX0-kHA/edit?usp=sharing"",""แผน!AT72"")"),20000)</f>
        <v>20000</v>
      </c>
      <c r="J224" s="214">
        <v>20000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IFERROR(__xludf.DUMMYFUNCTION("IMPORTRANGE(""https://docs.google.com/spreadsheets/d/1QqKyyYR6Q21VydFLVH3TRQUabQu_ym0Zz7PgGX0-kHA/edit?usp=sharing"",""แผน!AS72"")"),0)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IFERROR(__xludf.DUMMYFUNCTION("IMPORTRANGE(""https://docs.google.com/spreadsheets/d/1QqKyyYR6Q21VydFLVH3TRQUabQu_ym0Zz7PgGX0-kHA/edit?usp=sharing"",""แผน!AV72"")"),0)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IFERROR(__xludf.DUMMYFUNCTION("IMPORTRANGE(""https://docs.google.com/spreadsheets/d/1QqKyyYR6Q21VydFLVH3TRQUabQu_ym0Zz7PgGX0-kHA/edit?usp=sharing"",""แผน!AW72"")"),0)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IFERROR(__xludf.DUMMYFUNCTION("IMPORTRANGE(""https://docs.google.com/spreadsheets/d/1QqKyyYR6Q21VydFLVH3TRQUabQu_ym0Zz7PgGX0-kHA/edit?usp=sharing"",""แผน!AX72"")"),0)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IFERROR(__xludf.DUMMYFUNCTION("IMPORTRANGE(""https://docs.google.com/spreadsheets/d/1QqKyyYR6Q21VydFLVH3TRQUabQu_ym0Zz7PgGX0-kHA/edit?usp=sharing"",""แผน!AY72"")"),0)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IFERROR(__xludf.DUMMYFUNCTION("IMPORTRANGE(""https://docs.google.com/spreadsheets/d/1QqKyyYR6Q21VydFLVH3TRQUabQu_ym0Zz7PgGX0-kHA/edit?usp=sharing"",""แผน!BE72"")"),0)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IFERROR(__xludf.DUMMYFUNCTION("IMPORTRANGE(""https://docs.google.com/spreadsheets/d/1QqKyyYR6Q21VydFLVH3TRQUabQu_ym0Zz7PgGX0-kHA/edit?usp=sharing"",""แผน!AZ72"")"),0)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IFERROR(__xludf.DUMMYFUNCTION("IMPORTRANGE(""https://docs.google.com/spreadsheets/d/1QqKyyYR6Q21VydFLVH3TRQUabQu_ym0Zz7PgGX0-kHA/edit?usp=sharing"",""แผน!BA72"")"),0)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IFERROR(__xludf.DUMMYFUNCTION("IMPORTRANGE(""https://docs.google.com/spreadsheets/d/1QqKyyYR6Q21VydFLVH3TRQUabQu_ym0Zz7PgGX0-kHA/edit?usp=sharing"",""แผน!BB72"")"),0)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IFERROR(__xludf.DUMMYFUNCTION("IMPORTRANGE(""https://docs.google.com/spreadsheets/d/1QqKyyYR6Q21VydFLVH3TRQUabQu_ym0Zz7PgGX0-kHA/edit?usp=sharing"",""แผน!BC72"")"),0)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IFERROR(__xludf.DUMMYFUNCTION("IMPORTRANGE(""https://docs.google.com/spreadsheets/d/1QqKyyYR6Q21VydFLVH3TRQUabQu_ym0Zz7PgGX0-kHA/edit?usp=sharing"",""แผน!BF72"")"),0)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IFERROR(__xludf.DUMMYFUNCTION("IMPORTRANGE(""https://docs.google.com/spreadsheets/d/1MeEWN-I1oV_STSDYn1IFDPWt_1FKiwhDph83XaGc0o0/edit?usp=sharing"",""งบพรบ!CY72"")"),26900)</f>
        <v>26900</v>
      </c>
      <c r="M266" s="92">
        <f ca="1">IFERROR(__xludf.DUMMYFUNCTION("IMPORTRANGE(""https://docs.google.com/spreadsheets/d/1MeEWN-I1oV_STSDYn1IFDPWt_1FKiwhDph83XaGc0o0/edit?usp=sharing"",""งบพรบ!DD72"")"),26900)</f>
        <v>26900</v>
      </c>
      <c r="N266" s="92">
        <f ca="1">IFERROR(__xludf.DUMMYFUNCTION("IMPORTRANGE(""https://docs.google.com/spreadsheets/d/1MeEWN-I1oV_STSDYn1IFDPWt_1FKiwhDph83XaGc0o0/edit?usp=sharing"",""งบพรบ!DF72"")"),26900)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IFERROR(__xludf.DUMMYFUNCTION("IMPORTRANGE(""https://docs.google.com/spreadsheets/d/1MeEWN-I1oV_STSDYn1IFDPWt_1FKiwhDph83XaGc0o0/edit?usp=sharing"",""งบพรบ!DB72"")"),0)</f>
        <v>0</v>
      </c>
      <c r="M269" s="92">
        <f ca="1">IFERROR(__xludf.DUMMYFUNCTION("IMPORTRANGE(""https://docs.google.com/spreadsheets/d/1MeEWN-I1oV_STSDYn1IFDPWt_1FKiwhDph83XaGc0o0/edit?usp=sharing"",""งบพรบ!DE72"")"),0)</f>
        <v>0</v>
      </c>
      <c r="N269" s="92">
        <f ca="1">IFERROR(__xludf.DUMMYFUNCTION("IMPORTRANGE(""https://docs.google.com/spreadsheets/d/1MeEWN-I1oV_STSDYn1IFDPWt_1FKiwhDph83XaGc0o0/edit?usp=sharing"",""งบพรบ!DG72"")"),0)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IFERROR(__xludf.DUMMYFUNCTION("IMPORTRANGE(""https://docs.google.com/spreadsheets/d/1QqKyyYR6Q21VydFLVH3TRQUabQu_ym0Zz7PgGX0-kHA/edit?usp=sharing"",""แผน!EA72"")"),22)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10</v>
      </c>
      <c r="J275" s="405">
        <f ca="1">J288</f>
        <v>10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100</v>
      </c>
      <c r="J276" s="860">
        <f>J287</f>
        <v>100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41010</v>
      </c>
      <c r="M277" s="154">
        <f ca="1">M278+M279</f>
        <v>41010</v>
      </c>
      <c r="N277" s="154">
        <f ca="1">N278+N279</f>
        <v>41010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41010</v>
      </c>
      <c r="M279" s="92">
        <f t="shared" ca="1" si="49"/>
        <v>41010</v>
      </c>
      <c r="N279" s="92">
        <f t="shared" ca="1" si="49"/>
        <v>41010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41010</v>
      </c>
      <c r="M280" s="497">
        <f ca="1">M281+M282</f>
        <v>41010</v>
      </c>
      <c r="N280" s="497">
        <f ca="1">N281+N282</f>
        <v>41010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IFERROR(__xludf.DUMMYFUNCTION("IMPORTRANGE(""https://docs.google.com/spreadsheets/d/1MeEWN-I1oV_STSDYn1IFDPWt_1FKiwhDph83XaGc0o0/edit?usp=sharing"",""งบพรบ!DI72"")"),41010)</f>
        <v>41010</v>
      </c>
      <c r="M282" s="92">
        <f ca="1">IFERROR(__xludf.DUMMYFUNCTION("IMPORTRANGE(""https://docs.google.com/spreadsheets/d/1MeEWN-I1oV_STSDYn1IFDPWt_1FKiwhDph83XaGc0o0/edit?usp=sharing"",""งบพรบ!DN72"")"),41010)</f>
        <v>41010</v>
      </c>
      <c r="N282" s="92">
        <f ca="1">IFERROR(__xludf.DUMMYFUNCTION("IMPORTRANGE(""https://docs.google.com/spreadsheets/d/1MeEWN-I1oV_STSDYn1IFDPWt_1FKiwhDph83XaGc0o0/edit?usp=sharing"",""งบพรบ!DP72"")"),41010)</f>
        <v>41010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IFERROR(__xludf.DUMMYFUNCTION("IMPORTRANGE(""https://docs.google.com/spreadsheets/d/1MeEWN-I1oV_STSDYn1IFDPWt_1FKiwhDph83XaGc0o0/edit?usp=sharing"",""งบพรบ!DL72"")"),0)</f>
        <v>0</v>
      </c>
      <c r="M285" s="92">
        <f ca="1">IFERROR(__xludf.DUMMYFUNCTION("IMPORTRANGE(""https://docs.google.com/spreadsheets/d/1MeEWN-I1oV_STSDYn1IFDPWt_1FKiwhDph83XaGc0o0/edit?usp=sharing"",""งบพรบ!DO72"")"),0)</f>
        <v>0</v>
      </c>
      <c r="N285" s="92">
        <f ca="1">IFERROR(__xludf.DUMMYFUNCTION("IMPORTRANGE(""https://docs.google.com/spreadsheets/d/1MeEWN-I1oV_STSDYn1IFDPWt_1FKiwhDph83XaGc0o0/edit?usp=sharing"",""งบพรบ!DQ72"")"),0)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IFERROR(__xludf.DUMMYFUNCTION("IMPORTRANGE(""https://docs.google.com/spreadsheets/d/1QqKyyYR6Q21VydFLVH3TRQUabQu_ym0Zz7PgGX0-kHA/edit?usp=sharing"",""แผน!EC72"")"),100)</f>
        <v>100</v>
      </c>
      <c r="J287" s="214">
        <v>100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10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IFERROR(__xludf.DUMMYFUNCTION("IMPORTRANGE(""https://docs.google.com/spreadsheets/d/1QqKyyYR6Q21VydFLVH3TRQUabQu_ym0Zz7PgGX0-kHA/edit?usp=sharing"",""แผน!EB72"")"),10)</f>
        <v>10</v>
      </c>
      <c r="J290" s="214">
        <v>10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IFERROR(__xludf.DUMMYFUNCTION("IMPORTRANGE(""https://docs.google.com/spreadsheets/d/1QqKyyYR6Q21VydFLVH3TRQUabQu_ym0Zz7PgGX0-kHA/edit?usp=sharing"",""แผน!EB72"")"),10)</f>
        <v>10</v>
      </c>
      <c r="J291" s="214">
        <v>10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IFERROR(__xludf.DUMMYFUNCTION("IMPORTRANGE(""https://docs.google.com/spreadsheets/d/1QqKyyYR6Q21VydFLVH3TRQUabQu_ym0Zz7PgGX0-kHA/edit?usp=sharing"",""แผน!EB72"")"),10)</f>
        <v>10</v>
      </c>
      <c r="J293" s="214">
        <v>10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IFERROR(__xludf.DUMMYFUNCTION("IMPORTRANGE(""https://docs.google.com/spreadsheets/d/1QqKyyYR6Q21VydFLVH3TRQUabQu_ym0Zz7PgGX0-kHA/edit?usp=sharing"",""แผน!EB72"")"),10)</f>
        <v>10</v>
      </c>
      <c r="J294" s="423">
        <v>10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63800</v>
      </c>
      <c r="M298" s="154">
        <f ca="1">M299+M300</f>
        <v>63800</v>
      </c>
      <c r="N298" s="154">
        <f ca="1">N299+N300</f>
        <v>63800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63800</v>
      </c>
      <c r="M300" s="92">
        <f t="shared" ca="1" si="52"/>
        <v>63800</v>
      </c>
      <c r="N300" s="92">
        <f t="shared" ca="1" si="52"/>
        <v>63800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63800</v>
      </c>
      <c r="M301" s="497">
        <f ca="1">M302+M303</f>
        <v>63800</v>
      </c>
      <c r="N301" s="497">
        <f ca="1">N302+N303</f>
        <v>63800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IFERROR(__xludf.DUMMYFUNCTION("IMPORTRANGE(""https://docs.google.com/spreadsheets/d/1MeEWN-I1oV_STSDYn1IFDPWt_1FKiwhDph83XaGc0o0/edit?usp=sharing"",""งบพรบ!DS72"")"),63800)</f>
        <v>63800</v>
      </c>
      <c r="M303" s="92">
        <f ca="1">IFERROR(__xludf.DUMMYFUNCTION("IMPORTRANGE(""https://docs.google.com/spreadsheets/d/1MeEWN-I1oV_STSDYn1IFDPWt_1FKiwhDph83XaGc0o0/edit?usp=sharing"",""งบพรบ!DX72"")"),63800)</f>
        <v>63800</v>
      </c>
      <c r="N303" s="92">
        <f ca="1">IFERROR(__xludf.DUMMYFUNCTION("IMPORTRANGE(""https://docs.google.com/spreadsheets/d/1MeEWN-I1oV_STSDYn1IFDPWt_1FKiwhDph83XaGc0o0/edit?usp=sharing"",""งบพรบ!DZ72"")"),63800)</f>
        <v>63800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IFERROR(__xludf.DUMMYFUNCTION("IMPORTRANGE(""https://docs.google.com/spreadsheets/d/1MeEWN-I1oV_STSDYn1IFDPWt_1FKiwhDph83XaGc0o0/edit?usp=sharing"",""งบพรบ!DV72"")"),0)</f>
        <v>0</v>
      </c>
      <c r="M306" s="92">
        <f ca="1">IFERROR(__xludf.DUMMYFUNCTION("IMPORTRANGE(""https://docs.google.com/spreadsheets/d/1MeEWN-I1oV_STSDYn1IFDPWt_1FKiwhDph83XaGc0o0/edit?usp=sharing"",""งบพรบ!DY72"")"),0)</f>
        <v>0</v>
      </c>
      <c r="N306" s="92">
        <f ca="1">IFERROR(__xludf.DUMMYFUNCTION("IMPORTRANGE(""https://docs.google.com/spreadsheets/d/1MeEWN-I1oV_STSDYn1IFDPWt_1FKiwhDph83XaGc0o0/edit?usp=sharing"",""งบพรบ!EA72"")"),0)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IFERROR(__xludf.DUMMYFUNCTION("IMPORTRANGE(""https://docs.google.com/spreadsheets/d/1QqKyyYR6Q21VydFLVH3TRQUabQu_ym0Zz7PgGX0-kHA/edit?usp=sharing"",""แผน!ED72"")"),15)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IFERROR(__xludf.DUMMYFUNCTION("IMPORTRANGE(""https://docs.google.com/spreadsheets/d/1QqKyyYR6Q21VydFLVH3TRQUabQu_ym0Zz7PgGX0-kHA/edit?usp=sharing"",""แผน!ED72"")"),15)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IFERROR(__xludf.DUMMYFUNCTION("IMPORTRANGE(""https://docs.google.com/spreadsheets/d/1QqKyyYR6Q21VydFLVH3TRQUabQu_ym0Zz7PgGX0-kHA/edit?usp=sharing"",""แผน!ED72"")"),15)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IFERROR(__xludf.DUMMYFUNCTION("IMPORTRANGE(""https://docs.google.com/spreadsheets/d/1QqKyyYR6Q21VydFLVH3TRQUabQu_ym0Zz7PgGX0-kHA/edit?usp=sharing"",""แผน!EE72"")"),3)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IFERROR(__xludf.DUMMYFUNCTION("IMPORTRANGE(""https://docs.google.com/spreadsheets/d/1MeEWN-I1oV_STSDYn1IFDPWt_1FKiwhDph83XaGc0o0/edit?usp=sharing"",""งบพรบ!EC72"")"),0)</f>
        <v>0</v>
      </c>
      <c r="M320" s="92">
        <f ca="1">IFERROR(__xludf.DUMMYFUNCTION("IMPORTRANGE(""https://docs.google.com/spreadsheets/d/1MeEWN-I1oV_STSDYn1IFDPWt_1FKiwhDph83XaGc0o0/edit?usp=sharing"",""งบพรบ!EH72"")"),0)</f>
        <v>0</v>
      </c>
      <c r="N320" s="92">
        <f ca="1">IFERROR(__xludf.DUMMYFUNCTION("IMPORTRANGE(""https://docs.google.com/spreadsheets/d/1MeEWN-I1oV_STSDYn1IFDPWt_1FKiwhDph83XaGc0o0/edit?usp=sharing"",""งบพรบ!EJ72"")"),0)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IFERROR(__xludf.DUMMYFUNCTION("IMPORTRANGE(""https://docs.google.com/spreadsheets/d/1MeEWN-I1oV_STSDYn1IFDPWt_1FKiwhDph83XaGc0o0/edit?usp=sharing"",""งบพรบ!EF72"")"),0)</f>
        <v>0</v>
      </c>
      <c r="M323" s="92">
        <f ca="1">IFERROR(__xludf.DUMMYFUNCTION("IMPORTRANGE(""https://docs.google.com/spreadsheets/d/1MeEWN-I1oV_STSDYn1IFDPWt_1FKiwhDph83XaGc0o0/edit?usp=sharing"",""งบพรบ!EI72"")"),0)</f>
        <v>0</v>
      </c>
      <c r="N323" s="92">
        <f ca="1">IFERROR(__xludf.DUMMYFUNCTION("IMPORTRANGE(""https://docs.google.com/spreadsheets/d/1MeEWN-I1oV_STSDYn1IFDPWt_1FKiwhDph83XaGc0o0/edit?usp=sharing"",""งบพรบ!EK72"")"),0)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IFERROR(__xludf.DUMMYFUNCTION("IMPORTRANGE(""https://docs.google.com/spreadsheets/d/1QqKyyYR6Q21VydFLVH3TRQUabQu_ym0Zz7PgGX0-kHA/edit?usp=sharing"",""แผน!EF72"")"),0)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IFERROR(__xludf.DUMMYFUNCTION("IMPORTRANGE(""https://docs.google.com/spreadsheets/d/1QqKyyYR6Q21VydFLVH3TRQUabQu_ym0Zz7PgGX0-kHA/edit?usp=sharing"",""แผน!EG72"")"),2300)</f>
        <v>2300</v>
      </c>
      <c r="J327" s="443">
        <f ca="1">J338+J341+J342+J343</f>
        <v>4627</v>
      </c>
      <c r="K327" s="444">
        <f ca="1">IF(I327&gt;0,J327*100/I327,0)</f>
        <v>201.17391304347825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166000</v>
      </c>
      <c r="M328" s="154">
        <f ca="1">M329+M330</f>
        <v>168500</v>
      </c>
      <c r="N328" s="154">
        <f ca="1">N329+N330</f>
        <v>168500</v>
      </c>
      <c r="O328" s="154">
        <f t="shared" ref="O328:O336" ca="1" si="56">IF(L328&gt;0,N328*100/L328,0)</f>
        <v>101.50602409638554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166000</v>
      </c>
      <c r="M330" s="92">
        <f t="shared" ca="1" si="58"/>
        <v>168500</v>
      </c>
      <c r="N330" s="92">
        <f t="shared" ca="1" si="58"/>
        <v>168500</v>
      </c>
      <c r="O330" s="92">
        <f t="shared" ca="1" si="56"/>
        <v>101.50602409638554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166000</v>
      </c>
      <c r="M331" s="497">
        <f ca="1">M332+M333</f>
        <v>168500</v>
      </c>
      <c r="N331" s="497">
        <f ca="1">N332+N333</f>
        <v>168500</v>
      </c>
      <c r="O331" s="497">
        <f t="shared" ca="1" si="56"/>
        <v>101.50602409638554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IFERROR(__xludf.DUMMYFUNCTION("IMPORTRANGE(""https://docs.google.com/spreadsheets/d/1MeEWN-I1oV_STSDYn1IFDPWt_1FKiwhDph83XaGc0o0/edit?usp=sharing"",""งบพรบ!EM72"")"),166000)</f>
        <v>166000</v>
      </c>
      <c r="M333" s="92">
        <f ca="1">IFERROR(__xludf.DUMMYFUNCTION("IMPORTRANGE(""https://docs.google.com/spreadsheets/d/1MeEWN-I1oV_STSDYn1IFDPWt_1FKiwhDph83XaGc0o0/edit?usp=sharing"",""งบพรบ!ER72"")"),168500)</f>
        <v>168500</v>
      </c>
      <c r="N333" s="92">
        <f ca="1">IFERROR(__xludf.DUMMYFUNCTION("IMPORTRANGE(""https://docs.google.com/spreadsheets/d/1MeEWN-I1oV_STSDYn1IFDPWt_1FKiwhDph83XaGc0o0/edit?usp=sharing"",""งบพรบ!ET72"")"),168500)</f>
        <v>168500</v>
      </c>
      <c r="O333" s="92">
        <f t="shared" ca="1" si="56"/>
        <v>101.50602409638554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IFERROR(__xludf.DUMMYFUNCTION("IMPORTRANGE(""https://docs.google.com/spreadsheets/d/1MeEWN-I1oV_STSDYn1IFDPWt_1FKiwhDph83XaGc0o0/edit?usp=sharing"",""งบพรบ!EP72"")"),0)</f>
        <v>0</v>
      </c>
      <c r="M336" s="92">
        <f ca="1">IFERROR(__xludf.DUMMYFUNCTION("IMPORTRANGE(""https://docs.google.com/spreadsheets/d/1MeEWN-I1oV_STSDYn1IFDPWt_1FKiwhDph83XaGc0o0/edit?usp=sharing"",""งบพรบ!ES72"")"),0)</f>
        <v>0</v>
      </c>
      <c r="N336" s="92">
        <f ca="1">IFERROR(__xludf.DUMMYFUNCTION("IMPORTRANGE(""https://docs.google.com/spreadsheets/d/1MeEWN-I1oV_STSDYn1IFDPWt_1FKiwhDph83XaGc0o0/edit?usp=sharing"",""งบพรบ!EU72"")"),0)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IFERROR(__xludf.DUMMYFUNCTION("IMPORTRANGE(""https://docs.google.com/spreadsheets/d/1QqKyyYR6Q21VydFLVH3TRQUabQu_ym0Zz7PgGX0-kHA/edit?usp=sharing"",""แผน!EG72"")"),2300)</f>
        <v>2300</v>
      </c>
      <c r="J338" s="269">
        <f ca="1">IFERROR(__xludf.DUMMYFUNCTION("IMPORTRANGE(""https://docs.google.com/spreadsheets/d/1kVcqe37tkHyjCSG3S0O1AXqVkqjo8mSIZil3BcpIysc/edit?usp=sharing"",""ศูนย์!D72"")"),4073)</f>
        <v>4073</v>
      </c>
      <c r="K338" s="497">
        <f ca="1">IF(I338&gt;0,J338*100/I338,0)</f>
        <v>177.08695652173913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IFERROR(__xludf.DUMMYFUNCTION("IMPORTRANGE(""https://docs.google.com/spreadsheets/d/1QqKyyYR6Q21VydFLVH3TRQUabQu_ym0Zz7PgGX0-kHA/edit?usp=sharing"",""แผน!EH72"")"),4)</f>
        <v>4</v>
      </c>
      <c r="J340" s="269">
        <f ca="1">IFERROR(__xludf.DUMMYFUNCTION("IMPORTRANGE(""https://docs.google.com/spreadsheets/d/1kVcqe37tkHyjCSG3S0O1AXqVkqjo8mSIZil3BcpIysc/edit?usp=sharing"",""ศูนย์!E72"")"),4)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IFERROR(__xludf.DUMMYFUNCTION("IMPORTRANGE(""https://docs.google.com/spreadsheets/d/1kVcqe37tkHyjCSG3S0O1AXqVkqjo8mSIZil3BcpIysc/edit?usp=sharing"",""ศูนย์!F72"")"),493)</f>
        <v>493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IFERROR(__xludf.DUMMYFUNCTION("IMPORTRANGE(""https://docs.google.com/spreadsheets/d/1kVcqe37tkHyjCSG3S0O1AXqVkqjo8mSIZil3BcpIysc/edit?usp=sharing"",""ศูนย์!G72"")"),61)</f>
        <v>61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1143490</v>
      </c>
      <c r="M345" s="154">
        <f ca="1">M346+M347</f>
        <v>1307600</v>
      </c>
      <c r="N345" s="154">
        <f ca="1">N346+N347</f>
        <v>1307600</v>
      </c>
      <c r="O345" s="154">
        <f t="shared" ref="O345:O353" ca="1" si="59">IF(L345&gt;0,N345*100/L345,0)</f>
        <v>114.35167775844127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1143490</v>
      </c>
      <c r="M347" s="92">
        <f t="shared" ca="1" si="61"/>
        <v>1307600</v>
      </c>
      <c r="N347" s="92">
        <f t="shared" ca="1" si="61"/>
        <v>1307600</v>
      </c>
      <c r="O347" s="92">
        <f t="shared" ca="1" si="59"/>
        <v>114.35167775844127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999890</v>
      </c>
      <c r="M348" s="497">
        <f ca="1">M349+M350</f>
        <v>1164000</v>
      </c>
      <c r="N348" s="497">
        <f ca="1">N349+N350</f>
        <v>1164000</v>
      </c>
      <c r="O348" s="497">
        <f t="shared" ca="1" si="59"/>
        <v>116.41280540859495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IFERROR(__xludf.DUMMYFUNCTION("IMPORTRANGE(""https://docs.google.com/spreadsheets/d/1MeEWN-I1oV_STSDYn1IFDPWt_1FKiwhDph83XaGc0o0/edit?usp=sharing"",""งบพรบ!EW72"")"),999890)</f>
        <v>999890</v>
      </c>
      <c r="M350" s="92">
        <f ca="1">IFERROR(__xludf.DUMMYFUNCTION("IMPORTRANGE(""https://docs.google.com/spreadsheets/d/1MeEWN-I1oV_STSDYn1IFDPWt_1FKiwhDph83XaGc0o0/edit?usp=sharing"",""งบพรบ!FB72"")"),1164000)</f>
        <v>1164000</v>
      </c>
      <c r="N350" s="92">
        <f ca="1">IFERROR(__xludf.DUMMYFUNCTION("IMPORTRANGE(""https://docs.google.com/spreadsheets/d/1MeEWN-I1oV_STSDYn1IFDPWt_1FKiwhDph83XaGc0o0/edit?usp=sharing"",""งบพรบ!FD72"")"),1164000)</f>
        <v>1164000</v>
      </c>
      <c r="O350" s="92">
        <f t="shared" ca="1" si="59"/>
        <v>116.41280540859495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143600</v>
      </c>
      <c r="M351" s="497">
        <f ca="1">M352+M353</f>
        <v>143600</v>
      </c>
      <c r="N351" s="497">
        <f ca="1">N352+N353</f>
        <v>143600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IFERROR(__xludf.DUMMYFUNCTION("IMPORTRANGE(""https://docs.google.com/spreadsheets/d/1MeEWN-I1oV_STSDYn1IFDPWt_1FKiwhDph83XaGc0o0/edit?usp=sharing"",""งบพรบ!EZ72"")"),143600)</f>
        <v>143600</v>
      </c>
      <c r="M353" s="92">
        <f ca="1">IFERROR(__xludf.DUMMYFUNCTION("IMPORTRANGE(""https://docs.google.com/spreadsheets/d/1MeEWN-I1oV_STSDYn1IFDPWt_1FKiwhDph83XaGc0o0/edit?usp=sharing"",""งบพรบ!FC72"")"),143600)</f>
        <v>143600</v>
      </c>
      <c r="N353" s="92">
        <f ca="1">IFERROR(__xludf.DUMMYFUNCTION("IMPORTRANGE(""https://docs.google.com/spreadsheets/d/1MeEWN-I1oV_STSDYn1IFDPWt_1FKiwhDph83XaGc0o0/edit?usp=sharing"",""งบพรบ!FE72"")"),143600)</f>
        <v>143600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344</v>
      </c>
      <c r="K355" s="465">
        <f ca="1">IF(I355&gt;0,J355*100/I355,0)</f>
        <v>156.36363636363637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IFERROR(__xludf.DUMMYFUNCTION("IMPORTRANGE(""https://docs.google.com/spreadsheets/d/1XWAQStnk-4SwqDmLtmXYiTMKHgktTP8We1SCoS47DrQ/edit?usp=sharing"",""จัดที่ดิน!W72"")"),390)</f>
        <v>390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IFERROR(__xludf.DUMMYFUNCTION("IMPORTRANGE(""https://docs.google.com/spreadsheets/d/1QqKyyYR6Q21VydFLVH3TRQUabQu_ym0Zz7PgGX0-kHA/edit?usp=sharing"",""แผน!EO72"")"),2100)</f>
        <v>2100</v>
      </c>
      <c r="J359" s="269">
        <f ca="1">IFERROR(__xludf.DUMMYFUNCTION("IMPORTRANGE(""https://docs.google.com/spreadsheets/d/1XWAQStnk-4SwqDmLtmXYiTMKHgktTP8We1SCoS47DrQ/edit?usp=sharing"",""จัดที่ดิน!X72"")"),2444.15)</f>
        <v>2444.15</v>
      </c>
      <c r="K359" s="497">
        <f t="shared" ca="1" si="62"/>
        <v>116.38809523809523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IFERROR(__xludf.DUMMYFUNCTION("IMPORTRANGE(""https://docs.google.com/spreadsheets/d/1QqKyyYR6Q21VydFLVH3TRQUabQu_ym0Zz7PgGX0-kHA/edit?usp=sharing"",""แผน!EP72"")"),220)</f>
        <v>220</v>
      </c>
      <c r="J360" s="269">
        <f ca="1">IFERROR(__xludf.DUMMYFUNCTION("IMPORTRANGE(""https://docs.google.com/spreadsheets/d/1XWAQStnk-4SwqDmLtmXYiTMKHgktTP8We1SCoS47DrQ/edit?usp=sharing"",""จัดที่ดิน!Y72"")"),343)</f>
        <v>343</v>
      </c>
      <c r="K360" s="497">
        <f t="shared" ca="1" si="62"/>
        <v>155.90909090909091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IFERROR(__xludf.DUMMYFUNCTION("IMPORTRANGE(""https://docs.google.com/spreadsheets/d/1XWAQStnk-4SwqDmLtmXYiTMKHgktTP8We1SCoS47DrQ/edit?usp=sharing"",""จัดที่ดิน!Z72"")"),2200.04)</f>
        <v>2200.04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IFERROR(__xludf.DUMMYFUNCTION("IMPORTRANGE(""https://docs.google.com/spreadsheets/d/1QqKyyYR6Q21VydFLVH3TRQUabQu_ym0Zz7PgGX0-kHA/edit?usp=sharing"",""แผน!EP72"")"),220)</f>
        <v>220</v>
      </c>
      <c r="J362" s="269">
        <f ca="1">IFERROR(__xludf.DUMMYFUNCTION("IMPORTRANGE(""https://docs.google.com/spreadsheets/d/1XWAQStnk-4SwqDmLtmXYiTMKHgktTP8We1SCoS47DrQ/edit?usp=sharing"",""จัดที่ดิน!AA72"")"),344)</f>
        <v>344</v>
      </c>
      <c r="K362" s="497">
        <f t="shared" ca="1" si="62"/>
        <v>156.36363636363637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IFERROR(__xludf.DUMMYFUNCTION("IMPORTRANGE(""https://docs.google.com/spreadsheets/d/1XWAQStnk-4SwqDmLtmXYiTMKHgktTP8We1SCoS47DrQ/edit?usp=sharing"",""จัดที่ดิน!AB72"")"),2210.93)</f>
        <v>2210.9299999999998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360</v>
      </c>
      <c r="J364" s="478">
        <f ca="1">J365+J374</f>
        <v>521</v>
      </c>
      <c r="K364" s="479">
        <f t="shared" ca="1" si="62"/>
        <v>144.72222222222223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71</v>
      </c>
      <c r="K365" s="491">
        <f t="shared" ca="1" si="62"/>
        <v>177.5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IFERROR(__xludf.DUMMYFUNCTION("IMPORTRANGE(""https://docs.google.com/spreadsheets/d/1XWAQStnk-4SwqDmLtmXYiTMKHgktTP8We1SCoS47DrQ/edit?usp=sharing"",""จัดที่ดิน!E72"")"),89)</f>
        <v>89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IFERROR(__xludf.DUMMYFUNCTION("IMPORTRANGE(""https://docs.google.com/spreadsheets/d/1QqKyyYR6Q21VydFLVH3TRQUabQu_ym0Zz7PgGX0-kHA/edit?usp=sharing"",""แผน!EI72"")"),300)</f>
        <v>300</v>
      </c>
      <c r="J369" s="269">
        <f ca="1">IFERROR(__xludf.DUMMYFUNCTION("IMPORTRANGE(""https://docs.google.com/spreadsheets/d/1XWAQStnk-4SwqDmLtmXYiTMKHgktTP8We1SCoS47DrQ/edit?usp=sharing"",""จัดที่ดิน!F72"")"),455.8)</f>
        <v>455.8</v>
      </c>
      <c r="K369" s="497">
        <f t="shared" ca="1" si="63"/>
        <v>151.93333333333334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IFERROR(__xludf.DUMMYFUNCTION("IMPORTRANGE(""https://docs.google.com/spreadsheets/d/1QqKyyYR6Q21VydFLVH3TRQUabQu_ym0Zz7PgGX0-kHA/edit?usp=sharing"",""แผน!EJ72"")"),40)</f>
        <v>40</v>
      </c>
      <c r="J370" s="269">
        <f ca="1">IFERROR(__xludf.DUMMYFUNCTION("IMPORTRANGE(""https://docs.google.com/spreadsheets/d/1XWAQStnk-4SwqDmLtmXYiTMKHgktTP8We1SCoS47DrQ/edit?usp=sharing"",""จัดที่ดิน!G72"")"),71)</f>
        <v>71</v>
      </c>
      <c r="K370" s="497">
        <f t="shared" ca="1" si="63"/>
        <v>177.5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IFERROR(__xludf.DUMMYFUNCTION("IMPORTRANGE(""https://docs.google.com/spreadsheets/d/1XWAQStnk-4SwqDmLtmXYiTMKHgktTP8We1SCoS47DrQ/edit?usp=sharing"",""จัดที่ดิน!H72"")"),373.23)</f>
        <v>373.23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IFERROR(__xludf.DUMMYFUNCTION("IMPORTRANGE(""https://docs.google.com/spreadsheets/d/1QqKyyYR6Q21VydFLVH3TRQUabQu_ym0Zz7PgGX0-kHA/edit?usp=sharing"",""แผน!EJ72"")"),40)</f>
        <v>40</v>
      </c>
      <c r="J372" s="269">
        <f ca="1">IFERROR(__xludf.DUMMYFUNCTION("IMPORTRANGE(""https://docs.google.com/spreadsheets/d/1XWAQStnk-4SwqDmLtmXYiTMKHgktTP8We1SCoS47DrQ/edit?usp=sharing"",""จัดที่ดิน!I72"")"),71)</f>
        <v>71</v>
      </c>
      <c r="K372" s="497">
        <f t="shared" ca="1" si="63"/>
        <v>177.5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IFERROR(__xludf.DUMMYFUNCTION("IMPORTRANGE(""https://docs.google.com/spreadsheets/d/1XWAQStnk-4SwqDmLtmXYiTMKHgktTP8We1SCoS47DrQ/edit?usp=sharing"",""จัดที่ดิน!J72"")"),373.23)</f>
        <v>373.23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450</v>
      </c>
      <c r="K374" s="491">
        <f t="shared" ca="1" si="63"/>
        <v>140.625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IFERROR(__xludf.DUMMYFUNCTION("IMPORTRANGE(""https://docs.google.com/spreadsheets/d/1XWAQStnk-4SwqDmLtmXYiTMKHgktTP8We1SCoS47DrQ/edit?usp=sharing"",""จัดที่ดิน!AH72"")"),301)</f>
        <v>301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IFERROR(__xludf.DUMMYFUNCTION("IMPORTRANGE(""https://docs.google.com/spreadsheets/d/1QqKyyYR6Q21VydFLVH3TRQUabQu_ym0Zz7PgGX0-kHA/edit?usp=sharing"",""แผน!ET72"")"),1800)</f>
        <v>1800</v>
      </c>
      <c r="J378" s="269">
        <f ca="1">IFERROR(__xludf.DUMMYFUNCTION("IMPORTRANGE(""https://docs.google.com/spreadsheets/d/1XWAQStnk-4SwqDmLtmXYiTMKHgktTP8We1SCoS47DrQ/edit?usp=sharing"",""จัดที่ดิน!AI72"")"),1988.35)</f>
        <v>1988.35</v>
      </c>
      <c r="K378" s="497">
        <f t="shared" ca="1" si="64"/>
        <v>110.46388888888889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IFERROR(__xludf.DUMMYFUNCTION("IMPORTRANGE(""https://docs.google.com/spreadsheets/d/1QqKyyYR6Q21VydFLVH3TRQUabQu_ym0Zz7PgGX0-kHA/edit?usp=sharing"",""แผน!EU72"")"),320)</f>
        <v>320</v>
      </c>
      <c r="J379" s="269">
        <f ca="1">IFERROR(__xludf.DUMMYFUNCTION("IMPORTRANGE(""https://docs.google.com/spreadsheets/d/1XWAQStnk-4SwqDmLtmXYiTMKHgktTP8We1SCoS47DrQ/edit?usp=sharing"",""จัดที่ดิน!AJ72"")"),449)</f>
        <v>449</v>
      </c>
      <c r="K379" s="497">
        <f t="shared" ca="1" si="64"/>
        <v>140.3125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IFERROR(__xludf.DUMMYFUNCTION("IMPORTRANGE(""https://docs.google.com/spreadsheets/d/1XWAQStnk-4SwqDmLtmXYiTMKHgktTP8We1SCoS47DrQ/edit?usp=sharing"",""จัดที่ดิน!AK72"")"),4054.91)</f>
        <v>4054.91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IFERROR(__xludf.DUMMYFUNCTION("IMPORTRANGE(""https://docs.google.com/spreadsheets/d/1QqKyyYR6Q21VydFLVH3TRQUabQu_ym0Zz7PgGX0-kHA/edit?usp=sharing"",""แผน!EU72"")"),320)</f>
        <v>320</v>
      </c>
      <c r="J381" s="269">
        <f ca="1">IFERROR(__xludf.DUMMYFUNCTION("IMPORTRANGE(""https://docs.google.com/spreadsheets/d/1XWAQStnk-4SwqDmLtmXYiTMKHgktTP8We1SCoS47DrQ/edit?usp=sharing"",""จัดที่ดิน!AL72"")"),450)</f>
        <v>450</v>
      </c>
      <c r="K381" s="497">
        <f t="shared" ca="1" si="64"/>
        <v>140.625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IFERROR(__xludf.DUMMYFUNCTION("IMPORTRANGE(""https://docs.google.com/spreadsheets/d/1XWAQStnk-4SwqDmLtmXYiTMKHgktTP8We1SCoS47DrQ/edit?usp=sharing"",""จัดที่ดิน!AM72"")"),4065.8)</f>
        <v>4065.8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IFERROR(__xludf.DUMMYFUNCTION("IMPORTRANGE(""https://docs.google.com/spreadsheets/d/1XWAQStnk-4SwqDmLtmXYiTMKHgktTP8We1SCoS47DrQ/edit?usp=sharing"",""จัดที่ดิน!AP72"")"),88)</f>
        <v>88</v>
      </c>
      <c r="K385" s="502">
        <f ca="1">IF(I385&gt;0,J385*100/I385,0)</f>
        <v>220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IFERROR(__xludf.DUMMYFUNCTION("IMPORTRANGE(""https://docs.google.com/spreadsheets/d/1MeEWN-I1oV_STSDYn1IFDPWt_1FKiwhDph83XaGc0o0/edit?usp=sharing"",""งบพรบ!FG72"")"),0)</f>
        <v>0</v>
      </c>
      <c r="M394" s="92">
        <f ca="1">IFERROR(__xludf.DUMMYFUNCTION("IMPORTRANGE(""https://docs.google.com/spreadsheets/d/1MeEWN-I1oV_STSDYn1IFDPWt_1FKiwhDph83XaGc0o0/edit?usp=sharing"",""งบพรบ!FL72"")"),0)</f>
        <v>0</v>
      </c>
      <c r="N394" s="92">
        <f ca="1">IFERROR(__xludf.DUMMYFUNCTION("IMPORTRANGE(""https://docs.google.com/spreadsheets/d/1MeEWN-I1oV_STSDYn1IFDPWt_1FKiwhDph83XaGc0o0/edit?usp=sharing"",""งบพรบ!FN72"")"),0)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IFERROR(__xludf.DUMMYFUNCTION("IMPORTRANGE(""https://docs.google.com/spreadsheets/d/1MeEWN-I1oV_STSDYn1IFDPWt_1FKiwhDph83XaGc0o0/edit?usp=sharing"",""งบพรบ!FJ72"")"),0)</f>
        <v>0</v>
      </c>
      <c r="M397" s="92">
        <f ca="1">IFERROR(__xludf.DUMMYFUNCTION("IMPORTRANGE(""https://docs.google.com/spreadsheets/d/1MeEWN-I1oV_STSDYn1IFDPWt_1FKiwhDph83XaGc0o0/edit?usp=sharing"",""งบพรบ!FM72"")"),0)</f>
        <v>0</v>
      </c>
      <c r="N397" s="92">
        <f ca="1">IFERROR(__xludf.DUMMYFUNCTION("IMPORTRANGE(""https://docs.google.com/spreadsheets/d/1MeEWN-I1oV_STSDYn1IFDPWt_1FKiwhDph83XaGc0o0/edit?usp=sharing"",""งบพรบ!FO72"")"),0)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IFERROR(__xludf.DUMMYFUNCTION("IMPORTRANGE(""https://docs.google.com/spreadsheets/d/1MeEWN-I1oV_STSDYn1IFDPWt_1FKiwhDph83XaGc0o0/edit?usp=sharing"",""งบพรบ!FQ72"")"),0)</f>
        <v>0</v>
      </c>
      <c r="M407" s="92">
        <f ca="1">IFERROR(__xludf.DUMMYFUNCTION("IMPORTRANGE(""https://docs.google.com/spreadsheets/d/1MeEWN-I1oV_STSDYn1IFDPWt_1FKiwhDph83XaGc0o0/edit?usp=sharing"",""งบพรบ!FV72"")"),0)</f>
        <v>0</v>
      </c>
      <c r="N407" s="92">
        <f ca="1">IFERROR(__xludf.DUMMYFUNCTION("IMPORTRANGE(""https://docs.google.com/spreadsheets/d/1MeEWN-I1oV_STSDYn1IFDPWt_1FKiwhDph83XaGc0o0/edit?usp=sharing"",""งบพรบ!FX72"")"),0)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IFERROR(__xludf.DUMMYFUNCTION("IMPORTRANGE(""https://docs.google.com/spreadsheets/d/1MeEWN-I1oV_STSDYn1IFDPWt_1FKiwhDph83XaGc0o0/edit?usp=sharing"",""งบพรบ!FT72"")"),0)</f>
        <v>0</v>
      </c>
      <c r="M410" s="92">
        <f ca="1">IFERROR(__xludf.DUMMYFUNCTION("IMPORTRANGE(""https://docs.google.com/spreadsheets/d/1MeEWN-I1oV_STSDYn1IFDPWt_1FKiwhDph83XaGc0o0/edit?usp=sharing"",""งบพรบ!FW72"")"),0)</f>
        <v>0</v>
      </c>
      <c r="N410" s="92">
        <f ca="1">IFERROR(__xludf.DUMMYFUNCTION("IMPORTRANGE(""https://docs.google.com/spreadsheets/d/1MeEWN-I1oV_STSDYn1IFDPWt_1FKiwhDph83XaGc0o0/edit?usp=sharing"",""งบพรบ!FY72"")"),0)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1741768</v>
      </c>
      <c r="M414" s="549">
        <f ca="1">M419+M444+M467+M502+M523+M544+M629+M655+M685+M737+M754+M770+M786+M805</f>
        <v>1740654.72</v>
      </c>
      <c r="N414" s="549">
        <f>N419+N444+N467+N502+N523+N544+N629+N655+N685+N737+N754+N770+N786+N805</f>
        <v>1740654.72</v>
      </c>
      <c r="O414" s="549">
        <f ca="1">IF(L414&gt;0,N414*100/L414,0)</f>
        <v>99.936083336012601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60</v>
      </c>
      <c r="J417" s="565">
        <f ca="1">J433</f>
        <v>60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188600</v>
      </c>
      <c r="M419" s="154">
        <f ca="1">M420+M421</f>
        <v>202910</v>
      </c>
      <c r="N419" s="154">
        <f>N420+N421</f>
        <v>202910</v>
      </c>
      <c r="O419" s="154">
        <f t="shared" ref="O419:O424" ca="1" si="71">IF(L419&gt;0,N419*100/L419,0)</f>
        <v>107.58748674443267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188600</v>
      </c>
      <c r="M421" s="92">
        <f t="shared" ca="1" si="73"/>
        <v>202910</v>
      </c>
      <c r="N421" s="92">
        <f t="shared" si="73"/>
        <v>202910</v>
      </c>
      <c r="O421" s="92">
        <f t="shared" ca="1" si="71"/>
        <v>107.58748674443267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188600</v>
      </c>
      <c r="M422" s="497">
        <f ca="1">M423+M424</f>
        <v>202910</v>
      </c>
      <c r="N422" s="497">
        <f>N423+N424</f>
        <v>202910</v>
      </c>
      <c r="O422" s="497">
        <f t="shared" ca="1" si="71"/>
        <v>107.58748674443267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IFERROR(__xludf.DUMMYFUNCTION("IMPORTRANGE(""https://docs.google.com/spreadsheets/d/1QqKyyYR6Q21VydFLVH3TRQUabQu_ym0Zz7PgGX0-kHA/edit?usp=sharing"",""แผน!EY72"")"),188600)</f>
        <v>188600</v>
      </c>
      <c r="M424" s="92">
        <f ca="1">L424-7590+21900</f>
        <v>202910</v>
      </c>
      <c r="N424" s="92">
        <f>N425+N426+N427+N428</f>
        <v>202910</v>
      </c>
      <c r="O424" s="92">
        <f t="shared" ca="1" si="71"/>
        <v>107.58748674443267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f>158340+9310+5000</f>
        <v>172650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3080+17600+9580</f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IFERROR(__xludf.DUMMYFUNCTION("IMPORTRANGE(""https://docs.google.com/spreadsheets/d/1QqKyyYR6Q21VydFLVH3TRQUabQu_ym0Zz7PgGX0-kHA/edit?usp=sharing"",""แผน!FB72"")"),0)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IFERROR(__xludf.DUMMYFUNCTION("IMPORTRANGE(""https://docs.google.com/spreadsheets/d/1QqKyyYR6Q21VydFLVH3TRQUabQu_ym0Zz7PgGX0-kHA/edit?usp=sharing"",""แผน!FE72"")"),1)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IFERROR(__xludf.DUMMYFUNCTION("IMPORTRANGE(""https://docs.google.com/spreadsheets/d/1QqKyyYR6Q21VydFLVH3TRQUabQu_ym0Zz7PgGX0-kHA/edit?usp=sharing"",""แผน!FG72"")"),1)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IFERROR(__xludf.DUMMYFUNCTION("IMPORTRANGE(""https://docs.google.com/spreadsheets/d/1QqKyyYR6Q21VydFLVH3TRQUabQu_ym0Zz7PgGX0-kHA/edit?usp=sharing"",""แผน!FH72"")"),0)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40</v>
      </c>
      <c r="J442" s="585">
        <f>J460</f>
        <v>40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60</v>
      </c>
      <c r="J443" s="565">
        <f>J462</f>
        <v>60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309180</v>
      </c>
      <c r="M444" s="194">
        <f ca="1">M445+M446</f>
        <v>317363.24</v>
      </c>
      <c r="N444" s="194">
        <f>N445+N446</f>
        <v>317363.24</v>
      </c>
      <c r="O444" s="194">
        <f t="shared" ref="O444:O449" ca="1" si="75">IF(L444&gt;0,N444*100/L444,0)</f>
        <v>102.64675593505402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309180</v>
      </c>
      <c r="M446" s="92">
        <f t="shared" ca="1" si="77"/>
        <v>317363.24</v>
      </c>
      <c r="N446" s="92">
        <f t="shared" si="77"/>
        <v>317363.24</v>
      </c>
      <c r="O446" s="92">
        <f t="shared" ca="1" si="75"/>
        <v>102.64675593505402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309180</v>
      </c>
      <c r="M447" s="497">
        <f ca="1">M448+M449</f>
        <v>317363.24</v>
      </c>
      <c r="N447" s="497">
        <f>N448+N449</f>
        <v>317363.24</v>
      </c>
      <c r="O447" s="497">
        <f t="shared" ca="1" si="75"/>
        <v>102.64675593505402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IFERROR(__xludf.DUMMYFUNCTION("IMPORTRANGE(""https://docs.google.com/spreadsheets/d/1QqKyyYR6Q21VydFLVH3TRQUabQu_ym0Zz7PgGX0-kHA/edit?usp=sharing"",""แผน!FJ72"")"),309180)</f>
        <v>309180</v>
      </c>
      <c r="M449" s="92">
        <f ca="1">L449+10990-866.76-1940</f>
        <v>317363.24</v>
      </c>
      <c r="N449" s="92">
        <f>N450+N451+N452+N453</f>
        <v>317363.24</v>
      </c>
      <c r="O449" s="92">
        <f t="shared" ca="1" si="75"/>
        <v>102.64675593505402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f>54400+9050</f>
        <v>63450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142133.24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f>13630+5000+2420+13250+6980</f>
        <v>41280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IFERROR(__xludf.DUMMYFUNCTION("IMPORTRANGE(""https://docs.google.com/spreadsheets/d/1QqKyyYR6Q21VydFLVH3TRQUabQu_ym0Zz7PgGX0-kHA/edit?usp=sharing"",""แผน!FM72"")"),0)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IFERROR(__xludf.DUMMYFUNCTION("IMPORTRANGE(""https://docs.google.com/spreadsheets/d/1QqKyyYR6Q21VydFLVH3TRQUabQu_ym0Zz7PgGX0-kHA/edit?usp=sharing"",""แผน!FN72"")"),40)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IFERROR(__xludf.DUMMYFUNCTION("IMPORTRANGE(""https://docs.google.com/spreadsheets/d/1QqKyyYR6Q21VydFLVH3TRQUabQu_ym0Zz7PgGX0-kHA/edit?usp=sharing"",""แผน!FO72"")"),60)</f>
        <v>60</v>
      </c>
      <c r="J462" s="214">
        <v>60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IFERROR(__xludf.DUMMYFUNCTION("IMPORTRANGE(""https://docs.google.com/spreadsheets/d/1QqKyyYR6Q21VydFLVH3TRQUabQu_ym0Zz7PgGX0-kHA/edit?usp=sharing"",""แผน!FO72"")"),60)</f>
        <v>60</v>
      </c>
      <c r="J463" s="214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IFERROR(__xludf.DUMMYFUNCTION("IMPORTRANGE(""https://docs.google.com/spreadsheets/d/1QqKyyYR6Q21VydFLVH3TRQUabQu_ym0Zz7PgGX0-kHA/edit?usp=sharing"",""แผน!FN72"")"),40)</f>
        <v>40</v>
      </c>
      <c r="J464" s="214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400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327863</v>
      </c>
      <c r="M467" s="194">
        <f ca="1">M468+M469</f>
        <v>330863</v>
      </c>
      <c r="N467" s="194">
        <f>N468+N469</f>
        <v>330863</v>
      </c>
      <c r="O467" s="194">
        <f t="shared" ref="O467:O472" ca="1" si="78">IF(L467&gt;0,N467*100/L467,0)</f>
        <v>100.91501633304155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327863</v>
      </c>
      <c r="M469" s="92">
        <f t="shared" ca="1" si="80"/>
        <v>330863</v>
      </c>
      <c r="N469" s="92">
        <f t="shared" si="80"/>
        <v>330863</v>
      </c>
      <c r="O469" s="92">
        <f t="shared" ca="1" si="78"/>
        <v>100.91501633304155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327863</v>
      </c>
      <c r="M470" s="497">
        <f ca="1">M471+M472</f>
        <v>330863</v>
      </c>
      <c r="N470" s="497">
        <f>N471+N472</f>
        <v>330863</v>
      </c>
      <c r="O470" s="497">
        <f t="shared" ca="1" si="78"/>
        <v>100.91501633304155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IFERROR(__xludf.DUMMYFUNCTION("IMPORTRANGE(""https://docs.google.com/spreadsheets/d/1QqKyyYR6Q21VydFLVH3TRQUabQu_ym0Zz7PgGX0-kHA/edit?usp=sharing"",""แผน!FS72"")"),327863)</f>
        <v>327863</v>
      </c>
      <c r="M472" s="92">
        <f ca="1">L472+3000</f>
        <v>330863</v>
      </c>
      <c r="N472" s="92">
        <f>N473+N474+N475+N476</f>
        <v>330863</v>
      </c>
      <c r="O472" s="92">
        <f t="shared" ca="1" si="78"/>
        <v>100.91501633304155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252000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15036+1350+710+6674+3490</f>
        <v>27260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IFERROR(__xludf.DUMMYFUNCTION("IMPORTRANGE(""https://docs.google.com/spreadsheets/d/1QqKyyYR6Q21VydFLVH3TRQUabQu_ym0Zz7PgGX0-kHA/edit?usp=sharing"",""แผน!FV72"")"),0)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IFERROR(__xludf.DUMMYFUNCTION("IMPORTRANGE(""https://docs.google.com/spreadsheets/d/1QqKyyYR6Q21VydFLVH3TRQUabQu_ym0Zz7PgGX0-kHA/edit?usp=sharing"",""แผน!FY72"")"),360)</f>
        <v>360</v>
      </c>
      <c r="J483" s="214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36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IFERROR(__xludf.DUMMYFUNCTION("IMPORTRANGE(""https://docs.google.com/spreadsheets/d/1QqKyyYR6Q21VydFLVH3TRQUabQu_ym0Zz7PgGX0-kHA/edit?usp=sharing"",""แผน!FZ72"")"),36)</f>
        <v>36</v>
      </c>
      <c r="J485" s="214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IFERROR(__xludf.DUMMYFUNCTION("IMPORTRANGE(""https://docs.google.com/spreadsheets/d/1QqKyyYR6Q21VydFLVH3TRQUabQu_ym0Zz7PgGX0-kHA/edit?usp=sharing"",""แผน!GA72"")"),40)</f>
        <v>40</v>
      </c>
      <c r="J487" s="214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IFERROR(__xludf.DUMMYFUNCTION("IMPORTRANGE(""https://docs.google.com/spreadsheets/d/1QqKyyYR6Q21VydFLVH3TRQUabQu_ym0Zz7PgGX0-kHA/edit?usp=sharing"",""แผน!GB72"")"),4)</f>
        <v>4</v>
      </c>
      <c r="J489" s="214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IFERROR(__xludf.DUMMYFUNCTION("IMPORTRANGE(""https://docs.google.com/spreadsheets/d/1QqKyyYR6Q21VydFLVH3TRQUabQu_ym0Zz7PgGX0-kHA/edit?usp=sharing"",""แผน!GC72"")"),1)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IFERROR(__xludf.DUMMYFUNCTION("IMPORTRANGE(""https://docs.google.com/spreadsheets/d/1QqKyyYR6Q21VydFLVH3TRQUabQu_ym0Zz7PgGX0-kHA/edit?usp=sharing"",""แผน!FY72"")"),360)</f>
        <v>360</v>
      </c>
      <c r="J495" s="214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36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IFERROR(__xludf.DUMMYFUNCTION("IMPORTRANGE(""https://docs.google.com/spreadsheets/d/1QqKyyYR6Q21VydFLVH3TRQUabQu_ym0Zz7PgGX0-kHA/edit?usp=sharing"",""แผน!GA72"")"),40)</f>
        <v>40</v>
      </c>
      <c r="J498" s="214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4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IFERROR(__xludf.DUMMYFUNCTION("IMPORTRANGE(""https://docs.google.com/spreadsheets/d/1QqKyyYR6Q21VydFLVH3TRQUabQu_ym0Zz7PgGX0-kHA/edit?usp=sharing"",""แผน!GQ72"")"),0)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IFERROR(__xludf.DUMMYFUNCTION("IMPORTRANGE(""https://docs.google.com/spreadsheets/d/1QqKyyYR6Q21VydFLVH3TRQUabQu_ym0Zz7PgGX0-kHA/edit?usp=sharing"",""แผน!GT72"")"),0)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IFERROR(__xludf.DUMMYFUNCTION("IMPORTRANGE(""https://docs.google.com/spreadsheets/d/1QqKyyYR6Q21VydFLVH3TRQUabQu_ym0Zz7PgGX0-kHA/edit?usp=sharing"",""แผน!GV72"")"),0)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IFERROR(__xludf.DUMMYFUNCTION("IMPORTRANGE(""https://docs.google.com/spreadsheets/d/1QqKyyYR6Q21VydFLVH3TRQUabQu_ym0Zz7PgGX0-kHA/edit?usp=sharing"",""แผน!GW72"")"),0)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IFERROR(__xludf.DUMMYFUNCTION("IMPORTRANGE(""https://docs.google.com/spreadsheets/d/1QqKyyYR6Q21VydFLVH3TRQUabQu_ym0Zz7PgGX0-kHA/edit?usp=sharing"",""แผน!GX72"")"),0)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IFERROR(__xludf.DUMMYFUNCTION("IMPORTRANGE(""https://docs.google.com/spreadsheets/d/1QqKyyYR6Q21VydFLVH3TRQUabQu_ym0Zz7PgGX0-kHA/edit?usp=sharing"",""แผน!GY72"")"),0)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IFERROR(__xludf.DUMMYFUNCTION("IMPORTRANGE(""https://docs.google.com/spreadsheets/d/1QqKyyYR6Q21VydFLVH3TRQUabQu_ym0Zz7PgGX0-kHA/edit?usp=sharing"",""แผน!GZ72"")"),0)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14728.2678</v>
      </c>
      <c r="J543" s="682">
        <f>J559</f>
        <v>14728.2678</v>
      </c>
      <c r="K543" s="683">
        <f t="shared" ca="1" si="87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497630</v>
      </c>
      <c r="M544" s="154">
        <f ca="1">M545+M546</f>
        <v>495370.23999999999</v>
      </c>
      <c r="N544" s="154">
        <f>N545+N546</f>
        <v>495370.23999999999</v>
      </c>
      <c r="O544" s="154">
        <f t="shared" ref="O544:O549" ca="1" si="88">IF(L544&gt;0,N544*100/L544,0)</f>
        <v>99.54589554488274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497630</v>
      </c>
      <c r="M546" s="92">
        <f ca="1">M549+M556</f>
        <v>495370.23999999999</v>
      </c>
      <c r="N546" s="92">
        <f>N549+N556</f>
        <v>495370.23999999999</v>
      </c>
      <c r="O546" s="92">
        <f t="shared" ca="1" si="88"/>
        <v>99.54589554488274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497630</v>
      </c>
      <c r="M547" s="497">
        <f ca="1">M548+M549</f>
        <v>495370.23999999999</v>
      </c>
      <c r="N547" s="497">
        <f>N548+N549</f>
        <v>495370.23999999999</v>
      </c>
      <c r="O547" s="497">
        <f t="shared" ca="1" si="88"/>
        <v>99.54589554488274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IFERROR(__xludf.DUMMYFUNCTION("IMPORTRANGE(""https://docs.google.com/spreadsheets/d/1QqKyyYR6Q21VydFLVH3TRQUabQu_ym0Zz7PgGX0-kHA/edit?usp=sharing"",""แผน!HB72"")"),497630)</f>
        <v>497630</v>
      </c>
      <c r="M549" s="92">
        <f ca="1">L549-2259.76</f>
        <v>495370.23999999999</v>
      </c>
      <c r="N549" s="92">
        <f>N550+N551+N552+N553+N554</f>
        <v>495370.23999999999</v>
      </c>
      <c r="O549" s="92">
        <f t="shared" ca="1" si="88"/>
        <v>99.54589554488274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143449.89000000001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67840+38500+3570+13580+8100+23910.35+54273+119930+18860+3357</f>
        <v>351920.35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IFERROR(__xludf.DUMMYFUNCTION("IMPORTRANGE(""https://docs.google.com/spreadsheets/d/1QqKyyYR6Q21VydFLVH3TRQUabQu_ym0Zz7PgGX0-kHA/edit?usp=sharing"",""แผน!HF72"")"),0)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14728.2678</v>
      </c>
      <c r="J559" s="703">
        <f>J576</f>
        <v>14728.2678</v>
      </c>
      <c r="K559" s="672">
        <f ca="1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IFERROR(__xludf.DUMMYFUNCTION("IMPORTRANGE(""https://docs.google.com/spreadsheets/d/1QqKyyYR6Q21VydFLVH3TRQUabQu_ym0Zz7PgGX0-kHA/edit?usp=sharing"",""แผน!HH72"")"),14728.2678)</f>
        <v>14728.2678</v>
      </c>
      <c r="J560" s="192">
        <f>J562+J564+J566</f>
        <v>14728</v>
      </c>
      <c r="K560" s="410">
        <f ca="1">IF(I560&gt;0,J560*100/I560,0)</f>
        <v>99.998181727792868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IFERROR(__xludf.DUMMYFUNCTION("IMPORTRANGE(""https://docs.google.com/spreadsheets/d/1QqKyyYR6Q21VydFLVH3TRQUabQu_ym0Zz7PgGX0-kHA/edit?usp=sharing"",""แผน!HG72"")"),1477)</f>
        <v>1477</v>
      </c>
      <c r="J561" s="192">
        <f>J563+J565+J567</f>
        <v>1477</v>
      </c>
      <c r="K561" s="410">
        <f ca="1">IF(I561&gt;0,J561*100/I561,0)</f>
        <v>100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10728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1128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3628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318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372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31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IFERROR(__xludf.DUMMYFUNCTION("IMPORTRANGE(""https://docs.google.com/spreadsheets/d/1QqKyyYR6Q21VydFLVH3TRQUabQu_ym0Zz7PgGX0-kHA/edit?usp=sharing"",""แผน!HH72"")"),14728.2678)</f>
        <v>14728.2678</v>
      </c>
      <c r="J568" s="676">
        <f>J570+J572+J574</f>
        <v>14728</v>
      </c>
      <c r="K568" s="410">
        <f ca="1">IF(I568&gt;0,J568*100/I568,0)</f>
        <v>99.998181727792868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IFERROR(__xludf.DUMMYFUNCTION("IMPORTRANGE(""https://docs.google.com/spreadsheets/d/1QqKyyYR6Q21VydFLVH3TRQUabQu_ym0Zz7PgGX0-kHA/edit?usp=sharing"",""แผน!HG72"")"),1477)</f>
        <v>1477</v>
      </c>
      <c r="J569" s="676">
        <f>J571+J573+J575</f>
        <v>1477</v>
      </c>
      <c r="K569" s="410">
        <f ca="1">IF(I569&gt;0,J569*100/I569,0)</f>
        <v>100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885">
        <v>11223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885">
        <v>1173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885">
        <v>2745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885">
        <v>242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885">
        <v>760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885">
        <v>62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IFERROR(__xludf.DUMMYFUNCTION("IMPORTRANGE(""https://docs.google.com/spreadsheets/d/1QqKyyYR6Q21VydFLVH3TRQUabQu_ym0Zz7PgGX0-kHA/edit?usp=sharing"",""แผน!HH72"")"),14728.2678)</f>
        <v>14728.2678</v>
      </c>
      <c r="J576" s="676">
        <f>J578+J580+J582+J588+J590</f>
        <v>14728.2678</v>
      </c>
      <c r="K576" s="410">
        <f ca="1">IF(I576&gt;0,J576*100/I576,0)</f>
        <v>100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IFERROR(__xludf.DUMMYFUNCTION("IMPORTRANGE(""https://docs.google.com/spreadsheets/d/1QqKyyYR6Q21VydFLVH3TRQUabQu_ym0Zz7PgGX0-kHA/edit?usp=sharing"",""แผน!HG72"")"),1477)</f>
        <v>1477</v>
      </c>
      <c r="J577" s="676">
        <f>J579+J581+J583+J589+J591</f>
        <v>1477</v>
      </c>
      <c r="K577" s="410">
        <f ca="1">IF(I577&gt;0,J577*100/I577,0)</f>
        <v>100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12389.234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1263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9.5875000000000004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3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764.27880000000005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63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764.27880000000005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63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1565.1675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148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4157.6899999999996</v>
      </c>
      <c r="J592" s="703">
        <f>J593</f>
        <v>4158</v>
      </c>
      <c r="K592" s="672">
        <f ca="1">IF(I592&gt;0,J592*100/I592,0)</f>
        <v>100.00745606334287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2">
        <f>J595+J603+J609</f>
        <v>4158</v>
      </c>
      <c r="K593" s="410">
        <f ca="1">IF(I593&gt;0,J593*100/I593,0)</f>
        <v>100.00745606334287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IFERROR(__xludf.DUMMYFUNCTION("IMPORTRANGE(""https://docs.google.com/spreadsheets/d/1QqKyyYR6Q21VydFLVH3TRQUabQu_ym0Zz7PgGX0-kHA/edit?usp=sharing"",""แผน!HI72"")"),489)</f>
        <v>489</v>
      </c>
      <c r="J594" s="192">
        <f>J596+J604+J610</f>
        <v>489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1827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227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1407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180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420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47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2331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262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2331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262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>J622+J624+J626</f>
        <v>8</v>
      </c>
      <c r="K620" s="724">
        <f ca="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>J623+J625+J627</f>
        <v>3</v>
      </c>
      <c r="K621" s="724">
        <f ca="1">IF(I621&gt;0,J621*100/I621,0)</f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8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3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100</v>
      </c>
      <c r="J628" s="736">
        <f ca="1">J651</f>
        <v>106</v>
      </c>
      <c r="K628" s="737">
        <f ca="1">IF(I628&gt;0,J628*100/I628,0)</f>
        <v>106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381515</v>
      </c>
      <c r="M629" s="194">
        <f ca="1">M630+M631</f>
        <v>380648.24</v>
      </c>
      <c r="N629" s="194">
        <f>N630+N631</f>
        <v>380648.24</v>
      </c>
      <c r="O629" s="194">
        <f t="shared" ref="O629:O634" ca="1" si="90">IF(L629&gt;0,N629*100/L629,0)</f>
        <v>99.772811029710496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381515</v>
      </c>
      <c r="M631" s="92">
        <f t="shared" ca="1" si="92"/>
        <v>380648.24</v>
      </c>
      <c r="N631" s="92">
        <f t="shared" si="92"/>
        <v>380648.24</v>
      </c>
      <c r="O631" s="92">
        <f t="shared" ca="1" si="90"/>
        <v>99.772811029710496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381515</v>
      </c>
      <c r="M632" s="497">
        <f ca="1">M633+M634</f>
        <v>380648.24</v>
      </c>
      <c r="N632" s="497">
        <f>N633+N634</f>
        <v>380648.24</v>
      </c>
      <c r="O632" s="497">
        <f t="shared" ca="1" si="90"/>
        <v>99.772811029710496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IFERROR(__xludf.DUMMYFUNCTION("IMPORTRANGE(""https://docs.google.com/spreadsheets/d/1QqKyyYR6Q21VydFLVH3TRQUabQu_ym0Zz7PgGX0-kHA/edit?usp=sharing"",""แผน!HN72"")"),381515)</f>
        <v>381515</v>
      </c>
      <c r="M634" s="92">
        <f ca="1">L634-866.76</f>
        <v>380648.24</v>
      </c>
      <c r="N634" s="92">
        <f>N635+N636+N637+N638</f>
        <v>380648.24</v>
      </c>
      <c r="O634" s="92">
        <f t="shared" ca="1" si="90"/>
        <v>99.772811029710496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142133.24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53500+4000+79430+1613+2900+30272+66800</f>
        <v>238515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IFERROR(__xludf.DUMMYFUNCTION("IMPORTRANGE(""https://docs.google.com/spreadsheets/d/1QqKyyYR6Q21VydFLVH3TRQUabQu_ym0Zz7PgGX0-kHA/edit?usp=sharing"",""แผน!HQ72"")"),0)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IFERROR(__xludf.DUMMYFUNCTION("IMPORTRANGE(""https://docs.google.com/spreadsheets/d/1QqKyyYR6Q21VydFLVH3TRQUabQu_ym0Zz7PgGX0-kHA/edit?usp=sharing"",""แผน!HR72"")"),0)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IFERROR(__xludf.DUMMYFUNCTION("IMPORTRANGE(""https://docs.google.com/spreadsheets/d/1QqKyyYR6Q21VydFLVH3TRQUabQu_ym0Zz7PgGX0-kHA/edit?usp=sharing"",""แผน!HR72"")"),0)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IFERROR(__xludf.DUMMYFUNCTION("IMPORTRANGE(""https://docs.google.com/spreadsheets/d/1XWAQStnk-4SwqDmLtmXYiTMKHgktTP8We1SCoS47DrQ/edit?usp=sharing"",""จัดที่ดิน!AS72"")"),125)</f>
        <v>125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IFERROR(__xludf.DUMMYFUNCTION("IMPORTRANGE(""https://docs.google.com/spreadsheets/d/1XWAQStnk-4SwqDmLtmXYiTMKHgktTP8We1SCoS47DrQ/edit?usp=sharing"",""จัดที่ดิน!AT72"")"),76.66)</f>
        <v>76.66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IFERROR(__xludf.DUMMYFUNCTION("IMPORTRANGE(""https://docs.google.com/spreadsheets/d/1QqKyyYR6Q21VydFLVH3TRQUabQu_ym0Zz7PgGX0-kHA/edit?usp=sharing"",""แผน!HS72"")"),100)</f>
        <v>100</v>
      </c>
      <c r="J647" s="269">
        <f ca="1">IFERROR(__xludf.DUMMYFUNCTION("IMPORTRANGE(""https://docs.google.com/spreadsheets/d/1XWAQStnk-4SwqDmLtmXYiTMKHgktTP8We1SCoS47DrQ/edit?usp=sharing"",""จัดที่ดิน!AU72"")"),139)</f>
        <v>139</v>
      </c>
      <c r="K647" s="162">
        <f t="shared" ca="1" si="93"/>
        <v>139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IFERROR(__xludf.DUMMYFUNCTION("IMPORTRANGE(""https://docs.google.com/spreadsheets/d/1XWAQStnk-4SwqDmLtmXYiTMKHgktTP8We1SCoS47DrQ/edit?usp=sharing"",""จัดที่ดิน!AV72"")"),87.86)</f>
        <v>87.86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IFERROR(__xludf.DUMMYFUNCTION("IMPORTRANGE(""https://docs.google.com/spreadsheets/d/1QqKyyYR6Q21VydFLVH3TRQUabQu_ym0Zz7PgGX0-kHA/edit?usp=sharing"",""แผน!HS72"")"),100)</f>
        <v>100</v>
      </c>
      <c r="J649" s="269">
        <f ca="1">IFERROR(__xludf.DUMMYFUNCTION("IMPORTRANGE(""https://docs.google.com/spreadsheets/d/1XWAQStnk-4SwqDmLtmXYiTMKHgktTP8We1SCoS47DrQ/edit?usp=sharing"",""จัดที่ดิน!AW72"")"),107)</f>
        <v>107</v>
      </c>
      <c r="K649" s="162">
        <f t="shared" ca="1" si="93"/>
        <v>107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IFERROR(__xludf.DUMMYFUNCTION("IMPORTRANGE(""https://docs.google.com/spreadsheets/d/1XWAQStnk-4SwqDmLtmXYiTMKHgktTP8We1SCoS47DrQ/edit?usp=sharing"",""จัดที่ดิน!AX72"")"),57.71)</f>
        <v>57.71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IFERROR(__xludf.DUMMYFUNCTION("IMPORTRANGE(""https://docs.google.com/spreadsheets/d/1QqKyyYR6Q21VydFLVH3TRQUabQu_ym0Zz7PgGX0-kHA/edit?usp=sharing"",""แผน!HS72"")"),100)</f>
        <v>100</v>
      </c>
      <c r="J651" s="269">
        <f ca="1">IFERROR(__xludf.DUMMYFUNCTION("IMPORTRANGE(""https://docs.google.com/spreadsheets/d/1XWAQStnk-4SwqDmLtmXYiTMKHgktTP8We1SCoS47DrQ/edit?usp=sharing"",""จัดที่ดิน!AY72"")"),106)</f>
        <v>106</v>
      </c>
      <c r="K651" s="162">
        <f t="shared" ca="1" si="93"/>
        <v>106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IFERROR(__xludf.DUMMYFUNCTION("IMPORTRANGE(""https://docs.google.com/spreadsheets/d/1XWAQStnk-4SwqDmLtmXYiTMKHgktTP8We1SCoS47DrQ/edit?usp=sharing"",""จัดที่ดิน!AZ72"")"),57.21)</f>
        <v>57.21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ca="1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0</v>
      </c>
      <c r="N657" s="92">
        <f t="shared" si="96"/>
        <v>0</v>
      </c>
      <c r="O657" s="92">
        <f t="shared" ca="1" si="94"/>
        <v>0</v>
      </c>
      <c r="P657" s="92">
        <f t="shared" ca="1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0</v>
      </c>
      <c r="N658" s="497">
        <f>N659+N660</f>
        <v>0</v>
      </c>
      <c r="O658" s="497">
        <f t="shared" ca="1" si="94"/>
        <v>0</v>
      </c>
      <c r="P658" s="497">
        <f t="shared" ca="1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IFERROR(__xludf.DUMMYFUNCTION("IMPORTRANGE(""https://docs.google.com/spreadsheets/d/1QqKyyYR6Q21VydFLVH3TRQUabQu_ym0Zz7PgGX0-kHA/edit?usp=sharing"",""แผน!HV72"")"),12400)</f>
        <v>12400</v>
      </c>
      <c r="M660" s="92">
        <f ca="1">L660-12400</f>
        <v>0</v>
      </c>
      <c r="N660" s="92">
        <f>N661+N662+N663+N664</f>
        <v>0</v>
      </c>
      <c r="O660" s="92">
        <f t="shared" ca="1" si="94"/>
        <v>0</v>
      </c>
      <c r="P660" s="92">
        <f t="shared" ca="1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IFERROR(__xludf.DUMMYFUNCTION("IMPORTRANGE(""https://docs.google.com/spreadsheets/d/1QqKyyYR6Q21VydFLVH3TRQUabQu_ym0Zz7PgGX0-kHA/edit?usp=sharing"",""แผน!HZ72"")"),4)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IFERROR(__xludf.DUMMYFUNCTION("IMPORTRANGE(""https://docs.google.com/spreadsheets/d/1QqKyyYR6Q21VydFLVH3TRQUabQu_ym0Zz7PgGX0-kHA/edit?usp=sharing"",""แผน!HZ72"")"),4)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24580</v>
      </c>
      <c r="M685" s="194">
        <f ca="1">M686+M687</f>
        <v>13500</v>
      </c>
      <c r="N685" s="194">
        <f>N686+N687</f>
        <v>13500</v>
      </c>
      <c r="O685" s="194">
        <f ca="1">IF(L685&gt;0,N685*100/L685,0)</f>
        <v>54.922701383238405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24580</v>
      </c>
      <c r="M687" s="92">
        <f t="shared" ca="1" si="97"/>
        <v>13500</v>
      </c>
      <c r="N687" s="92">
        <f t="shared" si="97"/>
        <v>13500</v>
      </c>
      <c r="O687" s="92">
        <f ca="1">IF(L687&gt;0,N687*100/L687,0)</f>
        <v>54.922701383238405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24580</v>
      </c>
      <c r="M688" s="497">
        <f ca="1">M689+M690</f>
        <v>13500</v>
      </c>
      <c r="N688" s="497">
        <f>N689+N690</f>
        <v>13500</v>
      </c>
      <c r="O688" s="497">
        <f ca="1">IF(L688&gt;0,N688*100/L688,0)</f>
        <v>54.922701383238405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IFERROR(__xludf.DUMMYFUNCTION("IMPORTRANGE(""https://docs.google.com/spreadsheets/d/1QqKyyYR6Q21VydFLVH3TRQUabQu_ym0Zz7PgGX0-kHA/edit?usp=sharing"",""แผน!HW72"")"),24580)</f>
        <v>24580</v>
      </c>
      <c r="M690" s="92">
        <f ca="1">L690-11080</f>
        <v>13500</v>
      </c>
      <c r="N690" s="92">
        <f>N691+N692+N693+N694</f>
        <v>13500</v>
      </c>
      <c r="O690" s="92">
        <f ca="1">IF(L690&gt;0,N690*100/L690,0)</f>
        <v>54.922701383238405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f>12748+752</f>
        <v>13500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69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69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4">
        <f ca="1">IF(I701&gt;0,J701*100/I701,0)</f>
        <v>166.66666666666666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8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8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4">
        <v>50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129.83000000000001</v>
      </c>
      <c r="K708" s="194">
        <f ca="1">IF(I708&gt;0,J708*100/I708,0)</f>
        <v>108.19166666666668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3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84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8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3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129.83000000000001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/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IFERROR(__xludf.DUMMYFUNCTION("IMPORTRANGE(""https://docs.google.com/spreadsheets/d/1XWAQStnk-4SwqDmLtmXYiTMKHgktTP8We1SCoS47DrQ/edit?usp=sharing"",""จัดที่ดิน!BF72"")"),8)</f>
        <v>8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IFERROR(__xludf.DUMMYFUNCTION("IMPORTRANGE(""https://docs.google.com/spreadsheets/d/1XWAQStnk-4SwqDmLtmXYiTMKHgktTP8We1SCoS47DrQ/edit?usp=sharing"",""จัดที่ดิน!BG72"")"),10)</f>
        <v>10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69">
        <f ca="1">IFERROR(__xludf.DUMMYFUNCTION("IMPORTRANGE(""https://docs.google.com/spreadsheets/d/1XWAQStnk-4SwqDmLtmXYiTMKHgktTP8We1SCoS47DrQ/edit?usp=sharing"",""จัดที่ดิน!BH72"")"),190.24)</f>
        <v>190.24</v>
      </c>
      <c r="K720" s="497">
        <f ca="1">IF(I720&gt;0,J720*100/I720,0)</f>
        <v>111.90588235294118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20</v>
      </c>
      <c r="K721" s="194">
        <f ca="1">IF(I721&gt;0,J721*100/I721,0)</f>
        <v>68.965517241379317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308.267</v>
      </c>
      <c r="K722" s="194">
        <f ca="1">IF(I722&gt;0,J722*100/I722,0)</f>
        <v>102.75566666666667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69">
        <f ca="1">IFERROR(__xludf.DUMMYFUNCTION("IMPORTRANGE(""https://docs.google.com/spreadsheets/d/1XWAQStnk-4SwqDmLtmXYiTMKHgktTP8We1SCoS47DrQ/edit?usp=sharing"",""จัดที่ดิน!BM72"")"),20)</f>
        <v>20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IFERROR(__xludf.DUMMYFUNCTION("IMPORTRANGE(""https://docs.google.com/spreadsheets/d/1XWAQStnk-4SwqDmLtmXYiTMKHgktTP8We1SCoS47DrQ/edit?usp=sharing"",""จัดที่ดิน!BN72"")"),22)</f>
        <v>22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69">
        <f ca="1">IFERROR(__xludf.DUMMYFUNCTION("IMPORTRANGE(""https://docs.google.com/spreadsheets/d/1XWAQStnk-4SwqDmLtmXYiTMKHgktTP8We1SCoS47DrQ/edit?usp=sharing"",""จัดที่ดิน!BO72"")"),308.267)</f>
        <v>308.267</v>
      </c>
      <c r="K725" s="497">
        <f ca="1">IF(I725&gt;0,J725*100/I725,0)</f>
        <v>154.1335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69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69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4">
        <f ca="1">IF(I729&gt;0,J729*100/I729,0)</f>
        <v>251.2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IFERROR(__xludf.DUMMYFUNCTION("IMPORTRANGE(""https://docs.google.com/spreadsheets/d/1QqKyyYR6Q21VydFLVH3TRQUabQu_ym0Zz7PgGX0-kHA/edit?usp=sharing"",""แผน!JJ72"")"),0)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IFERROR(__xludf.DUMMYFUNCTION("IMPORTRANGE(""https://docs.google.com/spreadsheets/d/1QqKyyYR6Q21VydFLVH3TRQUabQu_ym0Zz7PgGX0-kHA/edit?usp=sharing"",""แผน!JN72"")"),0)</f>
        <v>0</v>
      </c>
      <c r="J800" s="183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IFERROR(__xludf.DUMMYFUNCTION("IMPORTRANGE(""https://docs.google.com/spreadsheets/d/19vJNZY_5yjcGF2XGBMNZRCAIB0Kwfpjp8YEOfu-bneM/edit?usp=sharing"",""งานกองทุน!D72"")"),23399923)</f>
        <v>23399923</v>
      </c>
      <c r="J821" s="269">
        <f ca="1">IFERROR(__xludf.DUMMYFUNCTION("IMPORTRANGE(""https://docs.google.com/spreadsheets/d/19vJNZY_5yjcGF2XGBMNZRCAIB0Kwfpjp8YEOfu-bneM/edit?usp=sharing"",""งานกองทุน!F72"")"),21964981.58)</f>
        <v>21964981.579999998</v>
      </c>
      <c r="K821" s="497">
        <f t="shared" ref="K821:K828" ca="1" si="113">IF(I821&gt;0,J821*100/I821,0)</f>
        <v>93.867751530635374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IFERROR(__xludf.DUMMYFUNCTION("IMPORTRANGE(""https://docs.google.com/spreadsheets/d/19vJNZY_5yjcGF2XGBMNZRCAIB0Kwfpjp8YEOfu-bneM/edit?usp=sharing"",""งานกองทุน!C72"")"),576)</f>
        <v>576</v>
      </c>
      <c r="J822" s="269">
        <f ca="1">IFERROR(__xludf.DUMMYFUNCTION("IMPORTRANGE(""https://docs.google.com/spreadsheets/d/19vJNZY_5yjcGF2XGBMNZRCAIB0Kwfpjp8YEOfu-bneM/edit?usp=sharing"",""งานกองทุน!E72"")"),592)</f>
        <v>592</v>
      </c>
      <c r="K822" s="497">
        <f t="shared" ca="1" si="113"/>
        <v>102.77777777777777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69">
        <f ca="1">IFERROR(__xludf.DUMMYFUNCTION("IMPORTRANGE(""https://docs.google.com/spreadsheets/d/19vJNZY_5yjcGF2XGBMNZRCAIB0Kwfpjp8YEOfu-bneM/edit?usp=sharing"",""งานกองทุน!K72"")"),602270.85)</f>
        <v>602270.85</v>
      </c>
      <c r="K823" s="497">
        <f t="shared" ca="1" si="113"/>
        <v>20.08437633777616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IFERROR(__xludf.DUMMYFUNCTION("IMPORTRANGE(""https://docs.google.com/spreadsheets/d/19vJNZY_5yjcGF2XGBMNZRCAIB0Kwfpjp8YEOfu-bneM/edit?usp=sharing"",""งานกองทุน!H72"")"),59)</f>
        <v>59</v>
      </c>
      <c r="J824" s="269">
        <f ca="1">IFERROR(__xludf.DUMMYFUNCTION("IMPORTRANGE(""https://docs.google.com/spreadsheets/d/19vJNZY_5yjcGF2XGBMNZRCAIB0Kwfpjp8YEOfu-bneM/edit?usp=sharing"",""งานกองทุน!J72"")"),48)</f>
        <v>48</v>
      </c>
      <c r="K824" s="497">
        <f t="shared" ca="1" si="113"/>
        <v>81.355932203389827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IFERROR(__xludf.DUMMYFUNCTION("IMPORTRANGE(""https://docs.google.com/spreadsheets/d/19vJNZY_5yjcGF2XGBMNZRCAIB0Kwfpjp8YEOfu-bneM/edit?usp=sharing"",""งานกองทุน!N72"")"),2079426.61)</f>
        <v>2079426.61</v>
      </c>
      <c r="J825" s="269">
        <f ca="1">IFERROR(__xludf.DUMMYFUNCTION("IMPORTRANGE(""https://docs.google.com/spreadsheets/d/19vJNZY_5yjcGF2XGBMNZRCAIB0Kwfpjp8YEOfu-bneM/edit?usp=sharing"",""งานกองทุน!P72"")"),1532242.7)</f>
        <v>1532242.7</v>
      </c>
      <c r="K825" s="497">
        <f t="shared" ca="1" si="113"/>
        <v>73.6858272675466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IFERROR(__xludf.DUMMYFUNCTION("IMPORTRANGE(""https://docs.google.com/spreadsheets/d/19vJNZY_5yjcGF2XGBMNZRCAIB0Kwfpjp8YEOfu-bneM/edit?usp=sharing"",""งานกองทุน!M72"")"),494)</f>
        <v>494</v>
      </c>
      <c r="J826" s="269">
        <f ca="1">IFERROR(__xludf.DUMMYFUNCTION("IMPORTRANGE(""https://docs.google.com/spreadsheets/d/19vJNZY_5yjcGF2XGBMNZRCAIB0Kwfpjp8YEOfu-bneM/edit?usp=sharing"",""งานกองทุน!O72"")"),488)</f>
        <v>488</v>
      </c>
      <c r="K826" s="497">
        <f t="shared" ca="1" si="113"/>
        <v>98.785425101214571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IFERROR(__xludf.DUMMYFUNCTION("IMPORTRANGE(""https://docs.google.com/spreadsheets/d/19vJNZY_5yjcGF2XGBMNZRCAIB0Kwfpjp8YEOfu-bneM/edit?usp=sharing"",""งานกองทุน!S72"")"),20000000)</f>
        <v>20000000</v>
      </c>
      <c r="J827" s="269">
        <f ca="1">IFERROR(__xludf.DUMMYFUNCTION("IMPORTRANGE(""https://docs.google.com/spreadsheets/d/19vJNZY_5yjcGF2XGBMNZRCAIB0Kwfpjp8YEOfu-bneM/edit?usp=sharing"",""งานกองทุน!U72"")"),19125000)</f>
        <v>19125000</v>
      </c>
      <c r="K827" s="497">
        <f t="shared" ca="1" si="113"/>
        <v>95.625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IFERROR(__xludf.DUMMYFUNCTION("IMPORTRANGE(""https://docs.google.com/spreadsheets/d/19vJNZY_5yjcGF2XGBMNZRCAIB0Kwfpjp8YEOfu-bneM/edit?usp=sharing"",""งานกองทุน!T72"")"),456)</f>
        <v>456</v>
      </c>
      <c r="K828" s="502">
        <f t="shared" ca="1" si="113"/>
        <v>83.211678832116789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5B3FB-132A-40D1-81FB-8739C6E1E7D8}">
  <sheetPr>
    <outlinePr summaryBelow="0" summaryRight="0"/>
    <pageSetUpPr fitToPage="1"/>
  </sheetPr>
  <dimension ref="A1:Z828"/>
  <sheetViews>
    <sheetView tabSelected="1" view="pageBreakPreview" zoomScale="60" zoomScaleNormal="30" workbookViewId="0">
      <pane ySplit="6" topLeftCell="A18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7109375" bestFit="1" customWidth="1"/>
    <col min="11" max="11" width="13" bestFit="1" customWidth="1"/>
    <col min="12" max="12" width="111.85546875" bestFit="1" customWidth="1"/>
    <col min="13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365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1990790</v>
      </c>
      <c r="M8" s="21">
        <f ca="1">M9+M10</f>
        <v>2074568</v>
      </c>
      <c r="N8" s="21">
        <f ca="1">N9+N10</f>
        <v>2074568</v>
      </c>
      <c r="O8" s="21">
        <f t="shared" ref="O8:O16" ca="1" si="0">IF(L8&gt;0,N8*100/L8,0)</f>
        <v>104.20827912537234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1990790</v>
      </c>
      <c r="M10" s="29">
        <f t="shared" ca="1" si="2"/>
        <v>2074568</v>
      </c>
      <c r="N10" s="29">
        <f t="shared" ca="1" si="2"/>
        <v>2074568</v>
      </c>
      <c r="O10" s="29">
        <f t="shared" ca="1" si="0"/>
        <v>104.20827912537234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1960790</v>
      </c>
      <c r="M11" s="497">
        <f ca="1">M12+M13</f>
        <v>2044568</v>
      </c>
      <c r="N11" s="497">
        <f ca="1">N12+N13</f>
        <v>2044568</v>
      </c>
      <c r="O11" s="497">
        <f t="shared" ca="1" si="0"/>
        <v>104.27266560926974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1960790</v>
      </c>
      <c r="M13" s="92">
        <f t="shared" ca="1" si="3"/>
        <v>2044568</v>
      </c>
      <c r="N13" s="92">
        <f t="shared" ca="1" si="3"/>
        <v>2044568</v>
      </c>
      <c r="O13" s="92">
        <f t="shared" ca="1" si="0"/>
        <v>104.27266560926974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30000</v>
      </c>
      <c r="M14" s="497">
        <f ca="1">M15+M16</f>
        <v>30000</v>
      </c>
      <c r="N14" s="497">
        <f ca="1">N15+N16</f>
        <v>30000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30000</v>
      </c>
      <c r="M16" s="51">
        <f t="shared" ca="1" si="4"/>
        <v>30000</v>
      </c>
      <c r="N16" s="51">
        <f t="shared" ca="1" si="4"/>
        <v>30000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1739210</v>
      </c>
      <c r="M18" s="21">
        <f ca="1">M19+M20</f>
        <v>1813525</v>
      </c>
      <c r="N18" s="21">
        <f ca="1">N19+N20</f>
        <v>1813525</v>
      </c>
      <c r="O18" s="21">
        <f t="shared" ref="O18:O26" ca="1" si="5">IF(L18&gt;0,N18*100/L18,0)</f>
        <v>104.27291701404661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1739210</v>
      </c>
      <c r="M20" s="29">
        <f t="shared" ca="1" si="7"/>
        <v>1813525</v>
      </c>
      <c r="N20" s="29">
        <f t="shared" ca="1" si="7"/>
        <v>1813525</v>
      </c>
      <c r="O20" s="29">
        <f t="shared" ca="1" si="5"/>
        <v>104.27291701404661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1709210</v>
      </c>
      <c r="M21" s="497">
        <f ca="1">M22+M23</f>
        <v>1783525</v>
      </c>
      <c r="N21" s="497">
        <f ca="1">N22+N23</f>
        <v>1783525</v>
      </c>
      <c r="O21" s="497">
        <f t="shared" ca="1" si="5"/>
        <v>104.34791511868056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1709210</v>
      </c>
      <c r="M23" s="92">
        <f t="shared" ca="1" si="8"/>
        <v>1783525</v>
      </c>
      <c r="N23" s="92">
        <f t="shared" ca="1" si="8"/>
        <v>1783525</v>
      </c>
      <c r="O23" s="92">
        <f t="shared" ca="1" si="5"/>
        <v>104.34791511868056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30000</v>
      </c>
      <c r="M24" s="497">
        <f ca="1">M25+M26</f>
        <v>30000</v>
      </c>
      <c r="N24" s="497">
        <f ca="1">N25+N26</f>
        <v>30000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30000</v>
      </c>
      <c r="M26" s="51">
        <f t="shared" ca="1" si="9"/>
        <v>30000</v>
      </c>
      <c r="N26" s="51">
        <f t="shared" ca="1" si="9"/>
        <v>30000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251580</v>
      </c>
      <c r="M28" s="21">
        <f ca="1">M29+M30</f>
        <v>261043</v>
      </c>
      <c r="N28" s="21">
        <f>N29+N30</f>
        <v>261043</v>
      </c>
      <c r="O28" s="21">
        <f t="shared" ref="O28:O37" ca="1" si="10">IF(L28&gt;0,N28*100/L28,0)</f>
        <v>103.76142777645282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251580</v>
      </c>
      <c r="M30" s="29">
        <f t="shared" ca="1" si="12"/>
        <v>261043</v>
      </c>
      <c r="N30" s="29">
        <f t="shared" si="12"/>
        <v>261043</v>
      </c>
      <c r="O30" s="29">
        <f t="shared" ca="1" si="10"/>
        <v>103.76142777645282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251580</v>
      </c>
      <c r="M31" s="497">
        <f ca="1">M32+M33</f>
        <v>261043</v>
      </c>
      <c r="N31" s="497">
        <f>N32+N33</f>
        <v>261043</v>
      </c>
      <c r="O31" s="497">
        <f t="shared" ca="1" si="10"/>
        <v>103.76142777645282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251580</v>
      </c>
      <c r="M33" s="92">
        <f t="shared" ca="1" si="13"/>
        <v>261043</v>
      </c>
      <c r="N33" s="92">
        <f t="shared" si="13"/>
        <v>261043</v>
      </c>
      <c r="O33" s="92">
        <f t="shared" ca="1" si="10"/>
        <v>103.76142777645282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1739210</v>
      </c>
      <c r="M37" s="58">
        <f ca="1">M41+M53+M66+M88+M119+M132+M149+M165+M181+M261+M277+M298+M315+M328+M345+M389+M402</f>
        <v>1813525</v>
      </c>
      <c r="N37" s="58">
        <f ca="1">N41+N53+N66+N88+N119+N132+N149+N165+N181+N261+N277+N298+N315+N328+N345+N389+N402</f>
        <v>1813525</v>
      </c>
      <c r="O37" s="58">
        <f t="shared" ca="1" si="10"/>
        <v>104.27291701404661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122700</v>
      </c>
      <c r="M41" s="84">
        <f ca="1">M42+M43</f>
        <v>151685</v>
      </c>
      <c r="N41" s="84">
        <f ca="1">N42+N43</f>
        <v>151685</v>
      </c>
      <c r="O41" s="84">
        <f t="shared" ref="O41:O49" ca="1" si="15">IF(L41&gt;0,N41*100/L41,0)</f>
        <v>123.62265688671556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122700</v>
      </c>
      <c r="M43" s="91">
        <f t="shared" ca="1" si="17"/>
        <v>151685</v>
      </c>
      <c r="N43" s="91">
        <f t="shared" ca="1" si="17"/>
        <v>151685</v>
      </c>
      <c r="O43" s="91">
        <f t="shared" ca="1" si="15"/>
        <v>123.62265688671556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122700</v>
      </c>
      <c r="M44" s="497">
        <f ca="1">M45+M46</f>
        <v>151685</v>
      </c>
      <c r="N44" s="497">
        <f ca="1">N45+N46</f>
        <v>151685</v>
      </c>
      <c r="O44" s="497">
        <f t="shared" ca="1" si="15"/>
        <v>123.62265688671556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IFERROR(__xludf.DUMMYFUNCTION("IMPORTRANGE(""https://docs.google.com/spreadsheets/d/1MeEWN-I1oV_STSDYn1IFDPWt_1FKiwhDph83XaGc0o0/edit?usp=sharing"",""งบพรบ!M73"")"),122700)</f>
        <v>122700</v>
      </c>
      <c r="M46" s="92">
        <f ca="1">IFERROR(__xludf.DUMMYFUNCTION("IMPORTRANGE(""https://docs.google.com/spreadsheets/d/1MeEWN-I1oV_STSDYn1IFDPWt_1FKiwhDph83XaGc0o0/edit?usp=sharing"",""งบพรบ!R73"")"),151685)</f>
        <v>151685</v>
      </c>
      <c r="N46" s="92">
        <f ca="1">IFERROR(__xludf.DUMMYFUNCTION("IMPORTRANGE(""https://docs.google.com/spreadsheets/d/1MeEWN-I1oV_STSDYn1IFDPWt_1FKiwhDph83XaGc0o0/edit?usp=sharing"",""งบพรบ!T73"")"),151685)</f>
        <v>151685</v>
      </c>
      <c r="O46" s="92">
        <f t="shared" ca="1" si="15"/>
        <v>123.62265688671556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IFERROR(__xludf.DUMMYFUNCTION("IMPORTRANGE(""https://docs.google.com/spreadsheets/d/1MeEWN-I1oV_STSDYn1IFDPWt_1FKiwhDph83XaGc0o0/edit?usp=sharing"",""งบพรบ!P73"")"),0)</f>
        <v>0</v>
      </c>
      <c r="M49" s="51">
        <f ca="1">IFERROR(__xludf.DUMMYFUNCTION("IMPORTRANGE(""https://docs.google.com/spreadsheets/d/1MeEWN-I1oV_STSDYn1IFDPWt_1FKiwhDph83XaGc0o0/edit?usp=sharing"",""งบพรบ!S73"")"),0)</f>
        <v>0</v>
      </c>
      <c r="N49" s="51">
        <f ca="1">IFERROR(__xludf.DUMMYFUNCTION("IMPORTRANGE(""https://docs.google.com/spreadsheets/d/1MeEWN-I1oV_STSDYn1IFDPWt_1FKiwhDph83XaGc0o0/edit?usp=sharing"",""งบพรบ!U73"")"),0)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839900</v>
      </c>
      <c r="M53" s="115">
        <f ca="1">M54+M55</f>
        <v>839900</v>
      </c>
      <c r="N53" s="115">
        <f ca="1">N54+N55</f>
        <v>839900</v>
      </c>
      <c r="O53" s="115">
        <f t="shared" ref="O53:O61" ca="1" si="18">IF(L53&gt;0,N53*100/L53,0)</f>
        <v>100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839900</v>
      </c>
      <c r="M55" s="122">
        <f t="shared" ca="1" si="20"/>
        <v>839900</v>
      </c>
      <c r="N55" s="122">
        <f t="shared" ca="1" si="20"/>
        <v>839900</v>
      </c>
      <c r="O55" s="122">
        <f t="shared" ca="1" si="18"/>
        <v>100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839900</v>
      </c>
      <c r="M56" s="497">
        <f ca="1">M57+M58</f>
        <v>839900</v>
      </c>
      <c r="N56" s="497">
        <f ca="1">N57+N58</f>
        <v>839900</v>
      </c>
      <c r="O56" s="497">
        <f t="shared" ca="1" si="18"/>
        <v>100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IFERROR(__xludf.DUMMYFUNCTION("IMPORTRANGE(""https://docs.google.com/spreadsheets/d/1MeEWN-I1oV_STSDYn1IFDPWt_1FKiwhDph83XaGc0o0/edit?usp=sharing"",""งบพรบ!W73"")"),839900)</f>
        <v>839900</v>
      </c>
      <c r="M58" s="92">
        <f ca="1">IFERROR(__xludf.DUMMYFUNCTION("IMPORTRANGE(""https://docs.google.com/spreadsheets/d/1MeEWN-I1oV_STSDYn1IFDPWt_1FKiwhDph83XaGc0o0/edit?usp=sharing"",""งบพรบ!AB73"")"),839900)</f>
        <v>839900</v>
      </c>
      <c r="N58" s="92">
        <f ca="1">IFERROR(__xludf.DUMMYFUNCTION("IMPORTRANGE(""https://docs.google.com/spreadsheets/d/1MeEWN-I1oV_STSDYn1IFDPWt_1FKiwhDph83XaGc0o0/edit?usp=sharing"",""งบพรบ!AD73"")"),839900)</f>
        <v>839900</v>
      </c>
      <c r="O58" s="92">
        <f t="shared" ca="1" si="18"/>
        <v>100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IFERROR(__xludf.DUMMYFUNCTION("IMPORTRANGE(""https://docs.google.com/spreadsheets/d/1MeEWN-I1oV_STSDYn1IFDPWt_1FKiwhDph83XaGc0o0/edit?usp=sharing"",""งบพรบ!Z73"")"),0)</f>
        <v>0</v>
      </c>
      <c r="M61" s="51">
        <f ca="1">IFERROR(__xludf.DUMMYFUNCTION("IMPORTRANGE(""https://docs.google.com/spreadsheets/d/1MeEWN-I1oV_STSDYn1IFDPWt_1FKiwhDph83XaGc0o0/edit?usp=sharing"",""งบพรบ!AC73"")"),0)</f>
        <v>0</v>
      </c>
      <c r="N61" s="51">
        <f ca="1">IFERROR(__xludf.DUMMYFUNCTION("IMPORTRANGE(""https://docs.google.com/spreadsheets/d/1MeEWN-I1oV_STSDYn1IFDPWt_1FKiwhDph83XaGc0o0/edit?usp=sharing"",""งบพรบ!AE73"")"),0)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IFERROR(__xludf.DUMMYFUNCTION("IMPORTRANGE(""https://docs.google.com/spreadsheets/d/1MeEWN-I1oV_STSDYn1IFDPWt_1FKiwhDph83XaGc0o0/edit?usp=sharing"",""งบพรบ!AG73"")"),0)</f>
        <v>0</v>
      </c>
      <c r="M71" s="92">
        <f ca="1">IFERROR(__xludf.DUMMYFUNCTION("IMPORTRANGE(""https://docs.google.com/spreadsheets/d/1MeEWN-I1oV_STSDYn1IFDPWt_1FKiwhDph83XaGc0o0/edit?usp=sharing"",""งบพรบ!AL73"")"),0)</f>
        <v>0</v>
      </c>
      <c r="N71" s="92">
        <f ca="1">IFERROR(__xludf.DUMMYFUNCTION("IMPORTRANGE(""https://docs.google.com/spreadsheets/d/1MeEWN-I1oV_STSDYn1IFDPWt_1FKiwhDph83XaGc0o0/edit?usp=sharing"",""งบพรบ!AN73"")"),0)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IFERROR(__xludf.DUMMYFUNCTION("IMPORTRANGE(""https://docs.google.com/spreadsheets/d/1MeEWN-I1oV_STSDYn1IFDPWt_1FKiwhDph83XaGc0o0/edit?usp=sharing"",""งบพรบ!AJ73"")"),0)</f>
        <v>0</v>
      </c>
      <c r="M74" s="92">
        <f ca="1">IFERROR(__xludf.DUMMYFUNCTION("IMPORTRANGE(""https://docs.google.com/spreadsheets/d/1MeEWN-I1oV_STSDYn1IFDPWt_1FKiwhDph83XaGc0o0/edit?usp=sharing"",""งบพรบ!AM73"")"),0)</f>
        <v>0</v>
      </c>
      <c r="N74" s="92">
        <f ca="1">IFERROR(__xludf.DUMMYFUNCTION("IMPORTRANGE(""https://docs.google.com/spreadsheets/d/1MeEWN-I1oV_STSDYn1IFDPWt_1FKiwhDph83XaGc0o0/edit?usp=sharing"",""งบพรบ!AO73"")"),0)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IFERROR(__xludf.DUMMYFUNCTION("IMPORTRANGE(""https://docs.google.com/spreadsheets/d/1QqKyyYR6Q21VydFLVH3TRQUabQu_ym0Zz7PgGX0-kHA/edit?usp=sharing"",""แผน!H73"")"),0)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IFERROR(__xludf.DUMMYFUNCTION("IMPORTRANGE(""https://docs.google.com/spreadsheets/d/1QqKyyYR6Q21VydFLVH3TRQUabQu_ym0Zz7PgGX0-kHA/edit?usp=sharing"",""แผน!I73"")"),0)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IFERROR(__xludf.DUMMYFUNCTION("IMPORTRANGE(""https://docs.google.com/spreadsheets/d/1QqKyyYR6Q21VydFLVH3TRQUabQu_ym0Zz7PgGX0-kHA/edit?usp=sharing"",""แผน!F73"")"),0)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IFERROR(__xludf.DUMMYFUNCTION("IMPORTRANGE(""https://docs.google.com/spreadsheets/d/1QqKyyYR6Q21VydFLVH3TRQUabQu_ym0Zz7PgGX0-kHA/edit?usp=sharing"",""แผน!G73"")"),0)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IFERROR(__xludf.DUMMYFUNCTION("IMPORTRANGE(""https://docs.google.com/spreadsheets/d/1QqKyyYR6Q21VydFLVH3TRQUabQu_ym0Zz7PgGX0-kHA/edit?usp=sharing"",""แผน!D73"")"),0)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IFERROR(__xludf.DUMMYFUNCTION("IMPORTRANGE(""https://docs.google.com/spreadsheets/d/1QqKyyYR6Q21VydFLVH3TRQUabQu_ym0Zz7PgGX0-kHA/edit?usp=sharing"",""แผน!E73"")"),0)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IFERROR(__xludf.DUMMYFUNCTION("IMPORTRANGE(""https://docs.google.com/spreadsheets/d/1QqKyyYR6Q21VydFLVH3TRQUabQu_ym0Zz7PgGX0-kHA/edit?usp=sharing"",""แผน!J73"")"),0)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174500</v>
      </c>
      <c r="M88" s="154">
        <f ca="1">M89+M90</f>
        <v>174500</v>
      </c>
      <c r="N88" s="154">
        <f ca="1">N89+N90</f>
        <v>174500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174500</v>
      </c>
      <c r="M90" s="92">
        <f t="shared" ca="1" si="27"/>
        <v>174500</v>
      </c>
      <c r="N90" s="92">
        <f t="shared" ca="1" si="27"/>
        <v>174500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174500</v>
      </c>
      <c r="M91" s="497">
        <f ca="1">M92+M93</f>
        <v>174500</v>
      </c>
      <c r="N91" s="497">
        <f ca="1">N92+N93</f>
        <v>174500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IFERROR(__xludf.DUMMYFUNCTION("IMPORTRANGE(""https://docs.google.com/spreadsheets/d/1MeEWN-I1oV_STSDYn1IFDPWt_1FKiwhDph83XaGc0o0/edit?usp=sharing"",""งบพรบ!AQ73"")"),174500)</f>
        <v>174500</v>
      </c>
      <c r="M93" s="92">
        <f ca="1">IFERROR(__xludf.DUMMYFUNCTION("IMPORTRANGE(""https://docs.google.com/spreadsheets/d/1MeEWN-I1oV_STSDYn1IFDPWt_1FKiwhDph83XaGc0o0/edit?usp=sharing"",""งบพรบ!AV73"")"),174500)</f>
        <v>174500</v>
      </c>
      <c r="N93" s="92">
        <f ca="1">IFERROR(__xludf.DUMMYFUNCTION("IMPORTRANGE(""https://docs.google.com/spreadsheets/d/1MeEWN-I1oV_STSDYn1IFDPWt_1FKiwhDph83XaGc0o0/edit?usp=sharing"",""งบพรบ!AX73"")"),174500)</f>
        <v>174500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IFERROR(__xludf.DUMMYFUNCTION("IMPORTRANGE(""https://docs.google.com/spreadsheets/d/1MeEWN-I1oV_STSDYn1IFDPWt_1FKiwhDph83XaGc0o0/edit?usp=sharing"",""งบพรบ!AT73"")"),0)</f>
        <v>0</v>
      </c>
      <c r="M96" s="92">
        <f ca="1">IFERROR(__xludf.DUMMYFUNCTION("IMPORTRANGE(""https://docs.google.com/spreadsheets/d/1MeEWN-I1oV_STSDYn1IFDPWt_1FKiwhDph83XaGc0o0/edit?usp=sharing"",""งบพรบ!AW73"")"),0)</f>
        <v>0</v>
      </c>
      <c r="N96" s="92">
        <f ca="1">IFERROR(__xludf.DUMMYFUNCTION("IMPORTRANGE(""https://docs.google.com/spreadsheets/d/1MeEWN-I1oV_STSDYn1IFDPWt_1FKiwhDph83XaGc0o0/edit?usp=sharing"",""งบพรบ!AY73"")"),0)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IFERROR(__xludf.DUMMYFUNCTION("IMPORTRANGE(""https://docs.google.com/spreadsheets/d/1QqKyyYR6Q21VydFLVH3TRQUabQu_ym0Zz7PgGX0-kHA/edit?usp=sharing"",""แผน!K73"")"),0)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IFERROR(__xludf.DUMMYFUNCTION("IMPORTRANGE(""https://docs.google.com/spreadsheets/d/1QqKyyYR6Q21VydFLVH3TRQUabQu_ym0Zz7PgGX0-kHA/edit?usp=sharing"",""แผน!L73"")"),0)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IFERROR(__xludf.DUMMYFUNCTION("IMPORTRANGE(""https://docs.google.com/spreadsheets/d/1QqKyyYR6Q21VydFLVH3TRQUabQu_ym0Zz7PgGX0-kHA/edit?usp=sharing"",""แผน!M73"")"),1)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IFERROR(__xludf.DUMMYFUNCTION("IMPORTRANGE(""https://docs.google.com/spreadsheets/d/1QqKyyYR6Q21VydFLVH3TRQUabQu_ym0Zz7PgGX0-kHA/edit?usp=sharing"",""แผน!N73"")"),0)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IFERROR(__xludf.DUMMYFUNCTION("IMPORTRANGE(""https://docs.google.com/spreadsheets/d/1QqKyyYR6Q21VydFLVH3TRQUabQu_ym0Zz7PgGX0-kHA/edit?usp=sharing"",""แผน!O73"")"),0)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IFERROR(__xludf.DUMMYFUNCTION("IMPORTRANGE(""https://docs.google.com/spreadsheets/d/1QqKyyYR6Q21VydFLVH3TRQUabQu_ym0Zz7PgGX0-kHA/edit?usp=sharing"",""แผน!O73"")"),0)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IFERROR(__xludf.DUMMYFUNCTION("IMPORTRANGE(""https://docs.google.com/spreadsheets/d/1QqKyyYR6Q21VydFLVH3TRQUabQu_ym0Zz7PgGX0-kHA/edit?usp=sharing"",""แผน!P73"")"),0)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IFERROR(__xludf.DUMMYFUNCTION("IMPORTRANGE(""https://docs.google.com/spreadsheets/d/1QqKyyYR6Q21VydFLVH3TRQUabQu_ym0Zz7PgGX0-kHA/edit?usp=sharing"",""แผน!P73"")"),0)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IFERROR(__xludf.DUMMYFUNCTION("IMPORTRANGE(""https://docs.google.com/spreadsheets/d/1QqKyyYR6Q21VydFLVH3TRQUabQu_ym0Zz7PgGX0-kHA/edit?usp=sharing"",""แผน!Q73"")"),1)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IFERROR(__xludf.DUMMYFUNCTION("IMPORTRANGE(""https://docs.google.com/spreadsheets/d/1QqKyyYR6Q21VydFLVH3TRQUabQu_ym0Zz7PgGX0-kHA/edit?usp=sharing"",""แผน!Q73"")"),1)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IFERROR(__xludf.DUMMYFUNCTION("IMPORTRANGE(""https://docs.google.com/spreadsheets/d/1QqKyyYR6Q21VydFLVH3TRQUabQu_ym0Zz7PgGX0-kHA/edit?usp=sharing"",""แผน!R73"")"),0)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IFERROR(__xludf.DUMMYFUNCTION("IMPORTRANGE(""https://docs.google.com/spreadsheets/d/1QqKyyYR6Q21VydFLVH3TRQUabQu_ym0Zz7PgGX0-kHA/edit?usp=sharing"",""แผน!R73"")"),0)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IFERROR(__xludf.DUMMYFUNCTION("IMPORTRANGE(""https://docs.google.com/spreadsheets/d/1QqKyyYR6Q21VydFLVH3TRQUabQu_ym0Zz7PgGX0-kHA/edit?usp=sharing"",""แผน!S73"")"),0)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IFERROR(__xludf.DUMMYFUNCTION("IMPORTRANGE(""https://docs.google.com/spreadsheets/d/1QqKyyYR6Q21VydFLVH3TRQUabQu_ym0Zz7PgGX0-kHA/edit?usp=sharing"",""แผน!T73"")"),1)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IFERROR(__xludf.DUMMYFUNCTION("IMPORTRANGE(""https://docs.google.com/spreadsheets/d/1MeEWN-I1oV_STSDYn1IFDPWt_1FKiwhDph83XaGc0o0/edit?usp=sharing"",""งบพรบ!BA73"")"),0)</f>
        <v>0</v>
      </c>
      <c r="M124" s="92">
        <f ca="1">IFERROR(__xludf.DUMMYFUNCTION("IMPORTRANGE(""https://docs.google.com/spreadsheets/d/1MeEWN-I1oV_STSDYn1IFDPWt_1FKiwhDph83XaGc0o0/edit?usp=sharing"",""งบพรบ!BF73"")"),0)</f>
        <v>0</v>
      </c>
      <c r="N124" s="92">
        <f ca="1">IFERROR(__xludf.DUMMYFUNCTION("IMPORTRANGE(""https://docs.google.com/spreadsheets/d/1MeEWN-I1oV_STSDYn1IFDPWt_1FKiwhDph83XaGc0o0/edit?usp=sharing"",""งบพรบ!BH73"")"),0)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IFERROR(__xludf.DUMMYFUNCTION("IMPORTRANGE(""https://docs.google.com/spreadsheets/d/1MeEWN-I1oV_STSDYn1IFDPWt_1FKiwhDph83XaGc0o0/edit?usp=sharing"",""งบพรบ!BD73"")"),0)</f>
        <v>0</v>
      </c>
      <c r="M127" s="92">
        <f ca="1">IFERROR(__xludf.DUMMYFUNCTION("IMPORTRANGE(""https://docs.google.com/spreadsheets/d/1MeEWN-I1oV_STSDYn1IFDPWt_1FKiwhDph83XaGc0o0/edit?usp=sharing"",""งบพรบ!BG73"")"),0)</f>
        <v>0</v>
      </c>
      <c r="N127" s="92">
        <f ca="1">IFERROR(__xludf.DUMMYFUNCTION("IMPORTRANGE(""https://docs.google.com/spreadsheets/d/1MeEWN-I1oV_STSDYn1IFDPWt_1FKiwhDph83XaGc0o0/edit?usp=sharing"",""งบพรบ!BI73"")"),0)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IFERROR(__xludf.DUMMYFUNCTION("IMPORTRANGE(""https://docs.google.com/spreadsheets/d/1MeEWN-I1oV_STSDYn1IFDPWt_1FKiwhDph83XaGc0o0/edit?usp=sharing"",""งบพรบ!BK73"")"),0)</f>
        <v>0</v>
      </c>
      <c r="M137" s="92">
        <f ca="1">IFERROR(__xludf.DUMMYFUNCTION("IMPORTRANGE(""https://docs.google.com/spreadsheets/d/1MeEWN-I1oV_STSDYn1IFDPWt_1FKiwhDph83XaGc0o0/edit?usp=sharing"",""งบพรบ!BP73"")"),0)</f>
        <v>0</v>
      </c>
      <c r="N137" s="92">
        <f ca="1">IFERROR(__xludf.DUMMYFUNCTION("IMPORTRANGE(""https://docs.google.com/spreadsheets/d/1MeEWN-I1oV_STSDYn1IFDPWt_1FKiwhDph83XaGc0o0/edit?usp=sharing"",""งบพรบ!BR73"")"),0)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IFERROR(__xludf.DUMMYFUNCTION("IMPORTRANGE(""https://docs.google.com/spreadsheets/d/1MeEWN-I1oV_STSDYn1IFDPWt_1FKiwhDph83XaGc0o0/edit?usp=sharing"",""งบพรบ!BN73"")"),0)</f>
        <v>0</v>
      </c>
      <c r="M140" s="92">
        <f ca="1">IFERROR(__xludf.DUMMYFUNCTION("IMPORTRANGE(""https://docs.google.com/spreadsheets/d/1MeEWN-I1oV_STSDYn1IFDPWt_1FKiwhDph83XaGc0o0/edit?usp=sharing"",""งบพรบ!BQ73"")"),0)</f>
        <v>0</v>
      </c>
      <c r="N140" s="92">
        <f ca="1">IFERROR(__xludf.DUMMYFUNCTION("IMPORTRANGE(""https://docs.google.com/spreadsheets/d/1MeEWN-I1oV_STSDYn1IFDPWt_1FKiwhDph83XaGc0o0/edit?usp=sharing"",""งบพรบ!BS73"")"),0)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IFERROR(__xludf.DUMMYFUNCTION("IMPORTRANGE(""https://docs.google.com/spreadsheets/d/1QqKyyYR6Q21VydFLVH3TRQUabQu_ym0Zz7PgGX0-kHA/edit?usp=sharing"",""แผน!U73"")"),0)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IFERROR(__xludf.DUMMYFUNCTION("IMPORTRANGE(""https://docs.google.com/spreadsheets/d/1QqKyyYR6Q21VydFLVH3TRQUabQu_ym0Zz7PgGX0-kHA/edit?usp=sharing"",""แผน!V73"")"),0)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IFERROR(__xludf.DUMMYFUNCTION("IMPORTRANGE(""https://docs.google.com/spreadsheets/d/1QqKyyYR6Q21VydFLVH3TRQUabQu_ym0Zz7PgGX0-kHA/edit?usp=sharing"",""แผน!W73"")"),0)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IFERROR(__xludf.DUMMYFUNCTION("IMPORTRANGE(""https://docs.google.com/spreadsheets/d/1MeEWN-I1oV_STSDYn1IFDPWt_1FKiwhDph83XaGc0o0/edit?usp=sharing"",""งบพรบ!BU73"")"),0)</f>
        <v>0</v>
      </c>
      <c r="M154" s="92">
        <f ca="1">IFERROR(__xludf.DUMMYFUNCTION("IMPORTRANGE(""https://docs.google.com/spreadsheets/d/1MeEWN-I1oV_STSDYn1IFDPWt_1FKiwhDph83XaGc0o0/edit?usp=sharing"",""งบพรบ!BZ73"")"),0)</f>
        <v>0</v>
      </c>
      <c r="N154" s="92">
        <f ca="1">IFERROR(__xludf.DUMMYFUNCTION("IMPORTRANGE(""https://docs.google.com/spreadsheets/d/1MeEWN-I1oV_STSDYn1IFDPWt_1FKiwhDph83XaGc0o0/edit?usp=sharing"",""งบพรบ!CB73"")"),0)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IFERROR(__xludf.DUMMYFUNCTION("IMPORTRANGE(""https://docs.google.com/spreadsheets/d/1MeEWN-I1oV_STSDYn1IFDPWt_1FKiwhDph83XaGc0o0/edit?usp=sharing"",""งบพรบ!BX73"")"),0)</f>
        <v>0</v>
      </c>
      <c r="M157" s="92">
        <f ca="1">IFERROR(__xludf.DUMMYFUNCTION("IMPORTRANGE(""https://docs.google.com/spreadsheets/d/1MeEWN-I1oV_STSDYn1IFDPWt_1FKiwhDph83XaGc0o0/edit?usp=sharing"",""งบพรบ!CA73"")"),0)</f>
        <v>0</v>
      </c>
      <c r="N157" s="92">
        <f ca="1">IFERROR(__xludf.DUMMYFUNCTION("IMPORTRANGE(""https://docs.google.com/spreadsheets/d/1MeEWN-I1oV_STSDYn1IFDPWt_1FKiwhDph83XaGc0o0/edit?usp=sharing"",""งบพรบ!CC73"")"),0)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IFERROR(__xludf.DUMMYFUNCTION("IMPORTRANGE(""https://docs.google.com/spreadsheets/d/1QqKyyYR6Q21VydFLVH3TRQUabQu_ym0Zz7PgGX0-kHA/edit?usp=sharing"",""แผน!X73"")"),0)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75">
        <f ca="1">I174+I177</f>
        <v>0</v>
      </c>
      <c r="J164" s="875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3">
        <f ca="1">L166+L167</f>
        <v>0</v>
      </c>
      <c r="M165" s="153">
        <f ca="1">M166+M167</f>
        <v>12300</v>
      </c>
      <c r="N165" s="153">
        <f ca="1">N166+N167</f>
        <v>12300</v>
      </c>
      <c r="O165" s="153">
        <f t="shared" ref="O165:O173" ca="1" si="38">IF(L165&gt;0,N165*100/L165,0)</f>
        <v>0</v>
      </c>
      <c r="P165" s="153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0</v>
      </c>
      <c r="M167" s="92">
        <f t="shared" ca="1" si="40"/>
        <v>12300</v>
      </c>
      <c r="N167" s="92">
        <f t="shared" ca="1" si="40"/>
        <v>12300</v>
      </c>
      <c r="O167" s="92">
        <f t="shared" ca="1" si="38"/>
        <v>0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12300</v>
      </c>
      <c r="N168" s="497">
        <f ca="1">N169+N170</f>
        <v>12300</v>
      </c>
      <c r="O168" s="497">
        <f t="shared" ca="1" si="38"/>
        <v>0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IFERROR(__xludf.DUMMYFUNCTION("IMPORTRANGE(""https://docs.google.com/spreadsheets/d/1MeEWN-I1oV_STSDYn1IFDPWt_1FKiwhDph83XaGc0o0/edit?usp=sharing"",""งบพรบ!CE73"")"),0)</f>
        <v>0</v>
      </c>
      <c r="M170" s="92">
        <f ca="1">IFERROR(__xludf.DUMMYFUNCTION("IMPORTRANGE(""https://docs.google.com/spreadsheets/d/1MeEWN-I1oV_STSDYn1IFDPWt_1FKiwhDph83XaGc0o0/edit?usp=sharing"",""งบพรบ!CJ73"")"),12300)</f>
        <v>12300</v>
      </c>
      <c r="N170" s="92">
        <f ca="1">IFERROR(__xludf.DUMMYFUNCTION("IMPORTRANGE(""https://docs.google.com/spreadsheets/d/1MeEWN-I1oV_STSDYn1IFDPWt_1FKiwhDph83XaGc0o0/edit?usp=sharing"",""งบพรบ!CL73"")"),12300)</f>
        <v>12300</v>
      </c>
      <c r="O170" s="92">
        <f t="shared" ca="1" si="38"/>
        <v>0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IFERROR(__xludf.DUMMYFUNCTION("IMPORTRANGE(""https://docs.google.com/spreadsheets/d/1MeEWN-I1oV_STSDYn1IFDPWt_1FKiwhDph83XaGc0o0/edit?usp=sharing"",""งบพรบ!CH73"")"),0)</f>
        <v>0</v>
      </c>
      <c r="M173" s="92">
        <f ca="1">IFERROR(__xludf.DUMMYFUNCTION("IMPORTRANGE(""https://docs.google.com/spreadsheets/d/1MeEWN-I1oV_STSDYn1IFDPWt_1FKiwhDph83XaGc0o0/edit?usp=sharing"",""งบพรบ!CK73"")"),0)</f>
        <v>0</v>
      </c>
      <c r="N173" s="92">
        <f ca="1">IFERROR(__xludf.DUMMYFUNCTION("IMPORTRANGE(""https://docs.google.com/spreadsheets/d/1MeEWN-I1oV_STSDYn1IFDPWt_1FKiwhDph83XaGc0o0/edit?usp=sharing"",""งบพรบ!CM73"")"),0)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 hidden="1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IFERROR(__xludf.DUMMYFUNCTION("IMPORTRANGE(""https://docs.google.com/spreadsheets/d/1QqKyyYR6Q21VydFLVH3TRQUabQu_ym0Zz7PgGX0-kHA/edit?usp=sharing"",""แผน!Y73"")"),0)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11900</v>
      </c>
      <c r="M181" s="154">
        <f ca="1">M182+M183</f>
        <v>21930</v>
      </c>
      <c r="N181" s="154">
        <f ca="1">N182+N183</f>
        <v>21930</v>
      </c>
      <c r="O181" s="154">
        <f t="shared" ref="O181:O189" ca="1" si="41">IF(L181&gt;0,N181*100/L181,0)</f>
        <v>184.28571428571428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11900</v>
      </c>
      <c r="M183" s="92">
        <f t="shared" ca="1" si="43"/>
        <v>21930</v>
      </c>
      <c r="N183" s="92">
        <f t="shared" ca="1" si="43"/>
        <v>21930</v>
      </c>
      <c r="O183" s="92">
        <f t="shared" ca="1" si="41"/>
        <v>184.28571428571428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11900</v>
      </c>
      <c r="M184" s="497">
        <f ca="1">M185+M186</f>
        <v>21930</v>
      </c>
      <c r="N184" s="497">
        <f ca="1">N185+N186</f>
        <v>21930</v>
      </c>
      <c r="O184" s="497">
        <f t="shared" ca="1" si="41"/>
        <v>184.28571428571428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IFERROR(__xludf.DUMMYFUNCTION("IMPORTRANGE(""https://docs.google.com/spreadsheets/d/1MeEWN-I1oV_STSDYn1IFDPWt_1FKiwhDph83XaGc0o0/edit?usp=sharing"",""งบพรบ!CO73"")"),11900)</f>
        <v>11900</v>
      </c>
      <c r="M186" s="92">
        <f ca="1">IFERROR(__xludf.DUMMYFUNCTION("IMPORTRANGE(""https://docs.google.com/spreadsheets/d/1MeEWN-I1oV_STSDYn1IFDPWt_1FKiwhDph83XaGc0o0/edit?usp=sharing"",""งบพรบ!CT73"")"),21930)</f>
        <v>21930</v>
      </c>
      <c r="N186" s="92">
        <f ca="1">IFERROR(__xludf.DUMMYFUNCTION("IMPORTRANGE(""https://docs.google.com/spreadsheets/d/1MeEWN-I1oV_STSDYn1IFDPWt_1FKiwhDph83XaGc0o0/edit?usp=sharing"",""งบพรบ!CV73"")"),21930)</f>
        <v>21930</v>
      </c>
      <c r="O186" s="92">
        <f t="shared" ca="1" si="41"/>
        <v>184.28571428571428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IFERROR(__xludf.DUMMYFUNCTION("IMPORTRANGE(""https://docs.google.com/spreadsheets/d/1MeEWN-I1oV_STSDYn1IFDPWt_1FKiwhDph83XaGc0o0/edit?usp=sharing"",""งบพรบ!CR73"")"),0)</f>
        <v>0</v>
      </c>
      <c r="M189" s="92">
        <f ca="1">IFERROR(__xludf.DUMMYFUNCTION("IMPORTRANGE(""https://docs.google.com/spreadsheets/d/1MeEWN-I1oV_STSDYn1IFDPWt_1FKiwhDph83XaGc0o0/edit?usp=sharing"",""งบพรบ!CU73"")"),0)</f>
        <v>0</v>
      </c>
      <c r="N189" s="92">
        <f ca="1">IFERROR(__xludf.DUMMYFUNCTION("IMPORTRANGE(""https://docs.google.com/spreadsheets/d/1MeEWN-I1oV_STSDYn1IFDPWt_1FKiwhDph83XaGc0o0/edit?usp=sharing"",""งบพรบ!CW73"")"),0)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IFERROR(__xludf.DUMMYFUNCTION("IMPORTRANGE(""https://docs.google.com/spreadsheets/d/1QqKyyYR6Q21VydFLVH3TRQUabQu_ym0Zz7PgGX0-kHA/edit?usp=sharing"",""แผน!Z73"")"),6000)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IFERROR(__xludf.DUMMYFUNCTION("IMPORTRANGE(""https://docs.google.com/spreadsheets/d/1QqKyyYR6Q21VydFLVH3TRQUabQu_ym0Zz7PgGX0-kHA/edit?usp=sharing"",""แผน!AC73"")"),4)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87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87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IFERROR(__xludf.DUMMYFUNCTION("IMPORTRANGE(""https://docs.google.com/spreadsheets/d/1QqKyyYR6Q21VydFLVH3TRQUabQu_ym0Zz7PgGX0-kHA/edit?usp=sharing"",""แผน!AI73"")"),0)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IFERROR(__xludf.DUMMYFUNCTION("IMPORTRANGE(""https://docs.google.com/spreadsheets/d/1QqKyyYR6Q21VydFLVH3TRQUabQu_ym0Zz7PgGX0-kHA/edit?usp=sharing"",""แผน!AN73"")"),0)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IFERROR(__xludf.DUMMYFUNCTION("IMPORTRANGE(""https://docs.google.com/spreadsheets/d/1QqKyyYR6Q21VydFLVH3TRQUabQu_ym0Zz7PgGX0-kHA/edit?usp=sharing"",""แผน!AN73"")"),0)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5000</v>
      </c>
      <c r="J216" s="271">
        <f>J224</f>
        <v>5000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5900</v>
      </c>
      <c r="M217" s="154"/>
      <c r="N217" s="154">
        <f>N218+N219+N220</f>
        <v>5900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3">
        <f>1500+1500+350+1000+550</f>
        <v>4900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3">
        <v>1000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IFERROR(__xludf.DUMMYFUNCTION("IMPORTRANGE(""https://docs.google.com/spreadsheets/d/1QqKyyYR6Q21VydFLVH3TRQUabQu_ym0Zz7PgGX0-kHA/edit?usp=sharing"",""แผน!AT73"")"),5000)</f>
        <v>5000</v>
      </c>
      <c r="J223" s="214">
        <v>5000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IFERROR(__xludf.DUMMYFUNCTION("IMPORTRANGE(""https://docs.google.com/spreadsheets/d/1QqKyyYR6Q21VydFLVH3TRQUabQu_ym0Zz7PgGX0-kHA/edit?usp=sharing"",""แผน!AT73"")"),5000)</f>
        <v>5000</v>
      </c>
      <c r="J224" s="214">
        <v>5000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IFERROR(__xludf.DUMMYFUNCTION("IMPORTRANGE(""https://docs.google.com/spreadsheets/d/1QqKyyYR6Q21VydFLVH3TRQUabQu_ym0Zz7PgGX0-kHA/edit?usp=sharing"",""แผน!AS73"")"),0)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IFERROR(__xludf.DUMMYFUNCTION("IMPORTRANGE(""https://docs.google.com/spreadsheets/d/1QqKyyYR6Q21VydFLVH3TRQUabQu_ym0Zz7PgGX0-kHA/edit?usp=sharing"",""แผน!AV73"")"),0)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IFERROR(__xludf.DUMMYFUNCTION("IMPORTRANGE(""https://docs.google.com/spreadsheets/d/1QqKyyYR6Q21VydFLVH3TRQUabQu_ym0Zz7PgGX0-kHA/edit?usp=sharing"",""แผน!AW73"")"),0)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IFERROR(__xludf.DUMMYFUNCTION("IMPORTRANGE(""https://docs.google.com/spreadsheets/d/1QqKyyYR6Q21VydFLVH3TRQUabQu_ym0Zz7PgGX0-kHA/edit?usp=sharing"",""แผน!AX73"")"),0)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IFERROR(__xludf.DUMMYFUNCTION("IMPORTRANGE(""https://docs.google.com/spreadsheets/d/1QqKyyYR6Q21VydFLVH3TRQUabQu_ym0Zz7PgGX0-kHA/edit?usp=sharing"",""แผน!AY73"")"),0)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IFERROR(__xludf.DUMMYFUNCTION("IMPORTRANGE(""https://docs.google.com/spreadsheets/d/1QqKyyYR6Q21VydFLVH3TRQUabQu_ym0Zz7PgGX0-kHA/edit?usp=sharing"",""แผน!BE73"")"),0)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IFERROR(__xludf.DUMMYFUNCTION("IMPORTRANGE(""https://docs.google.com/spreadsheets/d/1QqKyyYR6Q21VydFLVH3TRQUabQu_ym0Zz7PgGX0-kHA/edit?usp=sharing"",""แผน!AZ73"")"),0)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IFERROR(__xludf.DUMMYFUNCTION("IMPORTRANGE(""https://docs.google.com/spreadsheets/d/1QqKyyYR6Q21VydFLVH3TRQUabQu_ym0Zz7PgGX0-kHA/edit?usp=sharing"",""แผน!BA73"")"),0)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IFERROR(__xludf.DUMMYFUNCTION("IMPORTRANGE(""https://docs.google.com/spreadsheets/d/1QqKyyYR6Q21VydFLVH3TRQUabQu_ym0Zz7PgGX0-kHA/edit?usp=sharing"",""แผน!BB73"")"),0)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IFERROR(__xludf.DUMMYFUNCTION("IMPORTRANGE(""https://docs.google.com/spreadsheets/d/1QqKyyYR6Q21VydFLVH3TRQUabQu_ym0Zz7PgGX0-kHA/edit?usp=sharing"",""แผน!BC73"")"),0)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IFERROR(__xludf.DUMMYFUNCTION("IMPORTRANGE(""https://docs.google.com/spreadsheets/d/1QqKyyYR6Q21VydFLVH3TRQUabQu_ym0Zz7PgGX0-kHA/edit?usp=sharing"",""แผน!BF73"")"),0)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10</v>
      </c>
      <c r="J260" s="252">
        <f>J271</f>
        <v>10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158500</v>
      </c>
      <c r="M261" s="154">
        <f ca="1">M262+M263</f>
        <v>158500</v>
      </c>
      <c r="N261" s="154">
        <f ca="1">N262+N263</f>
        <v>158500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158500</v>
      </c>
      <c r="M263" s="92">
        <f t="shared" ca="1" si="46"/>
        <v>158500</v>
      </c>
      <c r="N263" s="92">
        <f t="shared" ca="1" si="46"/>
        <v>158500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158500</v>
      </c>
      <c r="M264" s="497">
        <f ca="1">M265+M266</f>
        <v>158500</v>
      </c>
      <c r="N264" s="497">
        <f ca="1">N265+N266</f>
        <v>158500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IFERROR(__xludf.DUMMYFUNCTION("IMPORTRANGE(""https://docs.google.com/spreadsheets/d/1MeEWN-I1oV_STSDYn1IFDPWt_1FKiwhDph83XaGc0o0/edit?usp=sharing"",""งบพรบ!CY73"")"),158500)</f>
        <v>158500</v>
      </c>
      <c r="M266" s="92">
        <f ca="1">IFERROR(__xludf.DUMMYFUNCTION("IMPORTRANGE(""https://docs.google.com/spreadsheets/d/1MeEWN-I1oV_STSDYn1IFDPWt_1FKiwhDph83XaGc0o0/edit?usp=sharing"",""งบพรบ!DD73"")"),158500)</f>
        <v>158500</v>
      </c>
      <c r="N266" s="92">
        <f ca="1">IFERROR(__xludf.DUMMYFUNCTION("IMPORTRANGE(""https://docs.google.com/spreadsheets/d/1MeEWN-I1oV_STSDYn1IFDPWt_1FKiwhDph83XaGc0o0/edit?usp=sharing"",""งบพรบ!DF73"")"),158500)</f>
        <v>158500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IFERROR(__xludf.DUMMYFUNCTION("IMPORTRANGE(""https://docs.google.com/spreadsheets/d/1MeEWN-I1oV_STSDYn1IFDPWt_1FKiwhDph83XaGc0o0/edit?usp=sharing"",""งบพรบ!DB73"")"),0)</f>
        <v>0</v>
      </c>
      <c r="M269" s="92">
        <f ca="1">IFERROR(__xludf.DUMMYFUNCTION("IMPORTRANGE(""https://docs.google.com/spreadsheets/d/1MeEWN-I1oV_STSDYn1IFDPWt_1FKiwhDph83XaGc0o0/edit?usp=sharing"",""งบพรบ!DE73"")"),0)</f>
        <v>0</v>
      </c>
      <c r="N269" s="92">
        <f ca="1">IFERROR(__xludf.DUMMYFUNCTION("IMPORTRANGE(""https://docs.google.com/spreadsheets/d/1MeEWN-I1oV_STSDYn1IFDPWt_1FKiwhDph83XaGc0o0/edit?usp=sharing"",""งบพรบ!DG73"")"),0)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IFERROR(__xludf.DUMMYFUNCTION("IMPORTRANGE(""https://docs.google.com/spreadsheets/d/1QqKyyYR6Q21VydFLVH3TRQUabQu_ym0Zz7PgGX0-kHA/edit?usp=sharing"",""แผน!EA73"")"),10)</f>
        <v>10</v>
      </c>
      <c r="J271" s="214">
        <v>10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IFERROR(__xludf.DUMMYFUNCTION("IMPORTRANGE(""https://docs.google.com/spreadsheets/d/1MeEWN-I1oV_STSDYn1IFDPWt_1FKiwhDph83XaGc0o0/edit?usp=sharing"",""งบพรบ!DI73"")"),0)</f>
        <v>0</v>
      </c>
      <c r="M282" s="92">
        <f ca="1">IFERROR(__xludf.DUMMYFUNCTION("IMPORTRANGE(""https://docs.google.com/spreadsheets/d/1MeEWN-I1oV_STSDYn1IFDPWt_1FKiwhDph83XaGc0o0/edit?usp=sharing"",""งบพรบ!DN73"")"),0)</f>
        <v>0</v>
      </c>
      <c r="N282" s="92">
        <f ca="1">IFERROR(__xludf.DUMMYFUNCTION("IMPORTRANGE(""https://docs.google.com/spreadsheets/d/1MeEWN-I1oV_STSDYn1IFDPWt_1FKiwhDph83XaGc0o0/edit?usp=sharing"",""งบพรบ!DP73"")"),0)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IFERROR(__xludf.DUMMYFUNCTION("IMPORTRANGE(""https://docs.google.com/spreadsheets/d/1MeEWN-I1oV_STSDYn1IFDPWt_1FKiwhDph83XaGc0o0/edit?usp=sharing"",""งบพรบ!DL73"")"),0)</f>
        <v>0</v>
      </c>
      <c r="M285" s="92">
        <f ca="1">IFERROR(__xludf.DUMMYFUNCTION("IMPORTRANGE(""https://docs.google.com/spreadsheets/d/1MeEWN-I1oV_STSDYn1IFDPWt_1FKiwhDph83XaGc0o0/edit?usp=sharing"",""งบพรบ!DO73"")"),0)</f>
        <v>0</v>
      </c>
      <c r="N285" s="92">
        <f ca="1">IFERROR(__xludf.DUMMYFUNCTION("IMPORTRANGE(""https://docs.google.com/spreadsheets/d/1MeEWN-I1oV_STSDYn1IFDPWt_1FKiwhDph83XaGc0o0/edit?usp=sharing"",""งบพรบ!DQ73"")"),0)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IFERROR(__xludf.DUMMYFUNCTION("IMPORTRANGE(""https://docs.google.com/spreadsheets/d/1QqKyyYR6Q21VydFLVH3TRQUabQu_ym0Zz7PgGX0-kHA/edit?usp=sharing"",""แผน!EC73"")"),0)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IFERROR(__xludf.DUMMYFUNCTION("IMPORTRANGE(""https://docs.google.com/spreadsheets/d/1QqKyyYR6Q21VydFLVH3TRQUabQu_ym0Zz7PgGX0-kHA/edit?usp=sharing"",""แผน!EB73"")"),0)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IFERROR(__xludf.DUMMYFUNCTION("IMPORTRANGE(""https://docs.google.com/spreadsheets/d/1QqKyyYR6Q21VydFLVH3TRQUabQu_ym0Zz7PgGX0-kHA/edit?usp=sharing"",""แผน!EB73"")"),0)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IFERROR(__xludf.DUMMYFUNCTION("IMPORTRANGE(""https://docs.google.com/spreadsheets/d/1QqKyyYR6Q21VydFLVH3TRQUabQu_ym0Zz7PgGX0-kHA/edit?usp=sharing"",""แผน!EB73"")"),0)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IFERROR(__xludf.DUMMYFUNCTION("IMPORTRANGE(""https://docs.google.com/spreadsheets/d/1QqKyyYR6Q21VydFLVH3TRQUabQu_ym0Zz7PgGX0-kHA/edit?usp=sharing"",""แผน!EB73"")"),0)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IFERROR(__xludf.DUMMYFUNCTION("IMPORTRANGE(""https://docs.google.com/spreadsheets/d/1MeEWN-I1oV_STSDYn1IFDPWt_1FKiwhDph83XaGc0o0/edit?usp=sharing"",""งบพรบ!DS73"")"),0)</f>
        <v>0</v>
      </c>
      <c r="M303" s="92">
        <f ca="1">IFERROR(__xludf.DUMMYFUNCTION("IMPORTRANGE(""https://docs.google.com/spreadsheets/d/1MeEWN-I1oV_STSDYn1IFDPWt_1FKiwhDph83XaGc0o0/edit?usp=sharing"",""งบพรบ!DX73"")"),0)</f>
        <v>0</v>
      </c>
      <c r="N303" s="92">
        <f ca="1">IFERROR(__xludf.DUMMYFUNCTION("IMPORTRANGE(""https://docs.google.com/spreadsheets/d/1MeEWN-I1oV_STSDYn1IFDPWt_1FKiwhDph83XaGc0o0/edit?usp=sharing"",""งบพรบ!DZ73"")"),0)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IFERROR(__xludf.DUMMYFUNCTION("IMPORTRANGE(""https://docs.google.com/spreadsheets/d/1MeEWN-I1oV_STSDYn1IFDPWt_1FKiwhDph83XaGc0o0/edit?usp=sharing"",""งบพรบ!DV73"")"),0)</f>
        <v>0</v>
      </c>
      <c r="M306" s="92">
        <f ca="1">IFERROR(__xludf.DUMMYFUNCTION("IMPORTRANGE(""https://docs.google.com/spreadsheets/d/1MeEWN-I1oV_STSDYn1IFDPWt_1FKiwhDph83XaGc0o0/edit?usp=sharing"",""งบพรบ!DY73"")"),0)</f>
        <v>0</v>
      </c>
      <c r="N306" s="92">
        <f ca="1">IFERROR(__xludf.DUMMYFUNCTION("IMPORTRANGE(""https://docs.google.com/spreadsheets/d/1MeEWN-I1oV_STSDYn1IFDPWt_1FKiwhDph83XaGc0o0/edit?usp=sharing"",""งบพรบ!EA73"")"),0)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IFERROR(__xludf.DUMMYFUNCTION("IMPORTRANGE(""https://docs.google.com/spreadsheets/d/1QqKyyYR6Q21VydFLVH3TRQUabQu_ym0Zz7PgGX0-kHA/edit?usp=sharing"",""แผน!ED73"")"),0)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IFERROR(__xludf.DUMMYFUNCTION("IMPORTRANGE(""https://docs.google.com/spreadsheets/d/1QqKyyYR6Q21VydFLVH3TRQUabQu_ym0Zz7PgGX0-kHA/edit?usp=sharing"",""แผน!ED73"")"),0)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IFERROR(__xludf.DUMMYFUNCTION("IMPORTRANGE(""https://docs.google.com/spreadsheets/d/1QqKyyYR6Q21VydFLVH3TRQUabQu_ym0Zz7PgGX0-kHA/edit?usp=sharing"",""แผน!ED73"")"),0)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IFERROR(__xludf.DUMMYFUNCTION("IMPORTRANGE(""https://docs.google.com/spreadsheets/d/1QqKyyYR6Q21VydFLVH3TRQUabQu_ym0Zz7PgGX0-kHA/edit?usp=sharing"",""แผน!EE73"")"),0)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IFERROR(__xludf.DUMMYFUNCTION("IMPORTRANGE(""https://docs.google.com/spreadsheets/d/1MeEWN-I1oV_STSDYn1IFDPWt_1FKiwhDph83XaGc0o0/edit?usp=sharing"",""งบพรบ!EC73"")"),0)</f>
        <v>0</v>
      </c>
      <c r="M320" s="92">
        <f ca="1">IFERROR(__xludf.DUMMYFUNCTION("IMPORTRANGE(""https://docs.google.com/spreadsheets/d/1MeEWN-I1oV_STSDYn1IFDPWt_1FKiwhDph83XaGc0o0/edit?usp=sharing"",""งบพรบ!EH73"")"),0)</f>
        <v>0</v>
      </c>
      <c r="N320" s="92">
        <f ca="1">IFERROR(__xludf.DUMMYFUNCTION("IMPORTRANGE(""https://docs.google.com/spreadsheets/d/1MeEWN-I1oV_STSDYn1IFDPWt_1FKiwhDph83XaGc0o0/edit?usp=sharing"",""งบพรบ!EJ73"")"),0)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IFERROR(__xludf.DUMMYFUNCTION("IMPORTRANGE(""https://docs.google.com/spreadsheets/d/1MeEWN-I1oV_STSDYn1IFDPWt_1FKiwhDph83XaGc0o0/edit?usp=sharing"",""งบพรบ!EF73"")"),0)</f>
        <v>0</v>
      </c>
      <c r="M323" s="92">
        <f ca="1">IFERROR(__xludf.DUMMYFUNCTION("IMPORTRANGE(""https://docs.google.com/spreadsheets/d/1MeEWN-I1oV_STSDYn1IFDPWt_1FKiwhDph83XaGc0o0/edit?usp=sharing"",""งบพรบ!EI73"")"),0)</f>
        <v>0</v>
      </c>
      <c r="N323" s="92">
        <f ca="1">IFERROR(__xludf.DUMMYFUNCTION("IMPORTRANGE(""https://docs.google.com/spreadsheets/d/1MeEWN-I1oV_STSDYn1IFDPWt_1FKiwhDph83XaGc0o0/edit?usp=sharing"",""งบพรบ!EK73"")"),0)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IFERROR(__xludf.DUMMYFUNCTION("IMPORTRANGE(""https://docs.google.com/spreadsheets/d/1QqKyyYR6Q21VydFLVH3TRQUabQu_ym0Zz7PgGX0-kHA/edit?usp=sharing"",""แผน!EF73"")"),0)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IFERROR(__xludf.DUMMYFUNCTION("IMPORTRANGE(""https://docs.google.com/spreadsheets/d/1QqKyyYR6Q21VydFLVH3TRQUabQu_ym0Zz7PgGX0-kHA/edit?usp=sharing"",""แผน!EG73"")"),50)</f>
        <v>50</v>
      </c>
      <c r="J327" s="443">
        <f ca="1">J338+J341+J342+J343</f>
        <v>127</v>
      </c>
      <c r="K327" s="444">
        <f ca="1">IF(I327&gt;0,J327*100/I327,0)</f>
        <v>254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353600</v>
      </c>
      <c r="M328" s="154">
        <f ca="1">M329+M330</f>
        <v>356100</v>
      </c>
      <c r="N328" s="154">
        <f ca="1">N329+N330</f>
        <v>356100</v>
      </c>
      <c r="O328" s="154">
        <f t="shared" ref="O328:O336" ca="1" si="56">IF(L328&gt;0,N328*100/L328,0)</f>
        <v>100.70701357466064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353600</v>
      </c>
      <c r="M330" s="92">
        <f t="shared" ca="1" si="58"/>
        <v>356100</v>
      </c>
      <c r="N330" s="92">
        <f t="shared" ca="1" si="58"/>
        <v>356100</v>
      </c>
      <c r="O330" s="92">
        <f t="shared" ca="1" si="56"/>
        <v>100.70701357466064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353600</v>
      </c>
      <c r="M331" s="497">
        <f ca="1">M332+M333</f>
        <v>356100</v>
      </c>
      <c r="N331" s="497">
        <f ca="1">N332+N333</f>
        <v>356100</v>
      </c>
      <c r="O331" s="497">
        <f t="shared" ca="1" si="56"/>
        <v>100.70701357466064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IFERROR(__xludf.DUMMYFUNCTION("IMPORTRANGE(""https://docs.google.com/spreadsheets/d/1MeEWN-I1oV_STSDYn1IFDPWt_1FKiwhDph83XaGc0o0/edit?usp=sharing"",""งบพรบ!EM73"")"),353600)</f>
        <v>353600</v>
      </c>
      <c r="M333" s="92">
        <f ca="1">IFERROR(__xludf.DUMMYFUNCTION("IMPORTRANGE(""https://docs.google.com/spreadsheets/d/1MeEWN-I1oV_STSDYn1IFDPWt_1FKiwhDph83XaGc0o0/edit?usp=sharing"",""งบพรบ!ER73"")"),356100)</f>
        <v>356100</v>
      </c>
      <c r="N333" s="92">
        <f ca="1">IFERROR(__xludf.DUMMYFUNCTION("IMPORTRANGE(""https://docs.google.com/spreadsheets/d/1MeEWN-I1oV_STSDYn1IFDPWt_1FKiwhDph83XaGc0o0/edit?usp=sharing"",""งบพรบ!ET73"")"),356100)</f>
        <v>356100</v>
      </c>
      <c r="O333" s="92">
        <f t="shared" ca="1" si="56"/>
        <v>100.70701357466064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IFERROR(__xludf.DUMMYFUNCTION("IMPORTRANGE(""https://docs.google.com/spreadsheets/d/1MeEWN-I1oV_STSDYn1IFDPWt_1FKiwhDph83XaGc0o0/edit?usp=sharing"",""งบพรบ!EP73"")"),0)</f>
        <v>0</v>
      </c>
      <c r="M336" s="92">
        <f ca="1">IFERROR(__xludf.DUMMYFUNCTION("IMPORTRANGE(""https://docs.google.com/spreadsheets/d/1MeEWN-I1oV_STSDYn1IFDPWt_1FKiwhDph83XaGc0o0/edit?usp=sharing"",""งบพรบ!ES73"")"),0)</f>
        <v>0</v>
      </c>
      <c r="N336" s="92">
        <f ca="1">IFERROR(__xludf.DUMMYFUNCTION("IMPORTRANGE(""https://docs.google.com/spreadsheets/d/1MeEWN-I1oV_STSDYn1IFDPWt_1FKiwhDph83XaGc0o0/edit?usp=sharing"",""งบพรบ!EU73"")"),0)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IFERROR(__xludf.DUMMYFUNCTION("IMPORTRANGE(""https://docs.google.com/spreadsheets/d/1QqKyyYR6Q21VydFLVH3TRQUabQu_ym0Zz7PgGX0-kHA/edit?usp=sharing"",""แผน!EG73"")"),50)</f>
        <v>50</v>
      </c>
      <c r="J338" s="269">
        <f ca="1">IFERROR(__xludf.DUMMYFUNCTION("IMPORTRANGE(""https://docs.google.com/spreadsheets/d/1kVcqe37tkHyjCSG3S0O1AXqVkqjo8mSIZil3BcpIysc/edit?usp=sharing"",""ศูนย์!D73"")"),33)</f>
        <v>33</v>
      </c>
      <c r="K338" s="497">
        <f ca="1">IF(I338&gt;0,J338*100/I338,0)</f>
        <v>66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IFERROR(__xludf.DUMMYFUNCTION("IMPORTRANGE(""https://docs.google.com/spreadsheets/d/1QqKyyYR6Q21VydFLVH3TRQUabQu_ym0Zz7PgGX0-kHA/edit?usp=sharing"",""แผน!EH73"")"),2)</f>
        <v>2</v>
      </c>
      <c r="J340" s="269">
        <f ca="1">IFERROR(__xludf.DUMMYFUNCTION("IMPORTRANGE(""https://docs.google.com/spreadsheets/d/1kVcqe37tkHyjCSG3S0O1AXqVkqjo8mSIZil3BcpIysc/edit?usp=sharing"",""ศูนย์!E73"")"),4)</f>
        <v>4</v>
      </c>
      <c r="K340" s="497">
        <f ca="1">IF(I340&gt;0,J340*100/I340,0)</f>
        <v>200</v>
      </c>
      <c r="L340" s="497" t="s">
        <v>364</v>
      </c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IFERROR(__xludf.DUMMYFUNCTION("IMPORTRANGE(""https://docs.google.com/spreadsheets/d/1kVcqe37tkHyjCSG3S0O1AXqVkqjo8mSIZil3BcpIysc/edit?usp=sharing"",""ศูนย์!F73"")"),94)</f>
        <v>94</v>
      </c>
      <c r="K341" s="497"/>
      <c r="L341" s="497" t="s">
        <v>363</v>
      </c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78110</v>
      </c>
      <c r="M345" s="154">
        <f ca="1">M346+M347</f>
        <v>98610</v>
      </c>
      <c r="N345" s="154">
        <f ca="1">N346+N347</f>
        <v>98610</v>
      </c>
      <c r="O345" s="154">
        <f t="shared" ref="O345:O353" ca="1" si="59">IF(L345&gt;0,N345*100/L345,0)</f>
        <v>126.24503904749712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78110</v>
      </c>
      <c r="M347" s="92">
        <f t="shared" ca="1" si="61"/>
        <v>98610</v>
      </c>
      <c r="N347" s="92">
        <f t="shared" ca="1" si="61"/>
        <v>98610</v>
      </c>
      <c r="O347" s="92">
        <f t="shared" ca="1" si="59"/>
        <v>126.24503904749712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48110</v>
      </c>
      <c r="M348" s="497">
        <f ca="1">M349+M350</f>
        <v>68610</v>
      </c>
      <c r="N348" s="497">
        <f ca="1">N349+N350</f>
        <v>68610</v>
      </c>
      <c r="O348" s="497">
        <f t="shared" ca="1" si="59"/>
        <v>142.61068384951153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IFERROR(__xludf.DUMMYFUNCTION("IMPORTRANGE(""https://docs.google.com/spreadsheets/d/1MeEWN-I1oV_STSDYn1IFDPWt_1FKiwhDph83XaGc0o0/edit?usp=sharing"",""งบพรบ!EW73"")"),48110)</f>
        <v>48110</v>
      </c>
      <c r="M350" s="92">
        <f ca="1">IFERROR(__xludf.DUMMYFUNCTION("IMPORTRANGE(""https://docs.google.com/spreadsheets/d/1MeEWN-I1oV_STSDYn1IFDPWt_1FKiwhDph83XaGc0o0/edit?usp=sharing"",""งบพรบ!FB73"")"),68610)</f>
        <v>68610</v>
      </c>
      <c r="N350" s="92">
        <f ca="1">IFERROR(__xludf.DUMMYFUNCTION("IMPORTRANGE(""https://docs.google.com/spreadsheets/d/1MeEWN-I1oV_STSDYn1IFDPWt_1FKiwhDph83XaGc0o0/edit?usp=sharing"",""งบพรบ!FD73"")"),68610)</f>
        <v>68610</v>
      </c>
      <c r="O350" s="92">
        <f t="shared" ca="1" si="59"/>
        <v>142.61068384951153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30000</v>
      </c>
      <c r="M351" s="497">
        <f ca="1">M352+M353</f>
        <v>30000</v>
      </c>
      <c r="N351" s="497">
        <f ca="1">N352+N353</f>
        <v>30000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IFERROR(__xludf.DUMMYFUNCTION("IMPORTRANGE(""https://docs.google.com/spreadsheets/d/1MeEWN-I1oV_STSDYn1IFDPWt_1FKiwhDph83XaGc0o0/edit?usp=sharing"",""งบพรบ!EZ73"")"),30000)</f>
        <v>30000</v>
      </c>
      <c r="M353" s="92">
        <f ca="1">IFERROR(__xludf.DUMMYFUNCTION("IMPORTRANGE(""https://docs.google.com/spreadsheets/d/1MeEWN-I1oV_STSDYn1IFDPWt_1FKiwhDph83XaGc0o0/edit?usp=sharing"",""งบพรบ!FC73"")"),30000)</f>
        <v>30000</v>
      </c>
      <c r="N353" s="92">
        <f ca="1">IFERROR(__xludf.DUMMYFUNCTION("IMPORTRANGE(""https://docs.google.com/spreadsheets/d/1MeEWN-I1oV_STSDYn1IFDPWt_1FKiwhDph83XaGc0o0/edit?usp=sharing"",""งบพรบ!FE73"")"),30000)</f>
        <v>30000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IFERROR(__xludf.DUMMYFUNCTION("IMPORTRANGE(""https://docs.google.com/spreadsheets/d/1QqKyyYR6Q21VydFLVH3TRQUabQu_ym0Zz7PgGX0-kHA/edit?usp=sharing"",""แผน!EO73"")"),0)</f>
        <v>0</v>
      </c>
      <c r="J359" s="269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IFERROR(__xludf.DUMMYFUNCTION("IMPORTRANGE(""https://docs.google.com/spreadsheets/d/1QqKyyYR6Q21VydFLVH3TRQUabQu_ym0Zz7PgGX0-kHA/edit?usp=sharing"",""แผน!EP73"")"),0)</f>
        <v>0</v>
      </c>
      <c r="J360" s="269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IFERROR(__xludf.DUMMYFUNCTION("IMPORTRANGE(""https://docs.google.com/spreadsheets/d/1QqKyyYR6Q21VydFLVH3TRQUabQu_ym0Zz7PgGX0-kHA/edit?usp=sharing"",""แผน!EP73"")"),0)</f>
        <v>0</v>
      </c>
      <c r="J362" s="269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IFERROR(__xludf.DUMMYFUNCTION("IMPORTRANGE(""https://docs.google.com/spreadsheets/d/1QqKyyYR6Q21VydFLVH3TRQUabQu_ym0Zz7PgGX0-kHA/edit?usp=sharing"",""แผน!EI73"")"),0)</f>
        <v>0</v>
      </c>
      <c r="J369" s="269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IFERROR(__xludf.DUMMYFUNCTION("IMPORTRANGE(""https://docs.google.com/spreadsheets/d/1QqKyyYR6Q21VydFLVH3TRQUabQu_ym0Zz7PgGX0-kHA/edit?usp=sharing"",""แผน!EJ73"")"),0)</f>
        <v>0</v>
      </c>
      <c r="J370" s="269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IFERROR(__xludf.DUMMYFUNCTION("IMPORTRANGE(""https://docs.google.com/spreadsheets/d/1QqKyyYR6Q21VydFLVH3TRQUabQu_ym0Zz7PgGX0-kHA/edit?usp=sharing"",""แผน!EJ73"")"),0)</f>
        <v>0</v>
      </c>
      <c r="J372" s="269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IFERROR(__xludf.DUMMYFUNCTION("IMPORTRANGE(""https://docs.google.com/spreadsheets/d/1QqKyyYR6Q21VydFLVH3TRQUabQu_ym0Zz7PgGX0-kHA/edit?usp=sharing"",""แผน!ET73"")"),0)</f>
        <v>0</v>
      </c>
      <c r="J378" s="269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IFERROR(__xludf.DUMMYFUNCTION("IMPORTRANGE(""https://docs.google.com/spreadsheets/d/1QqKyyYR6Q21VydFLVH3TRQUabQu_ym0Zz7PgGX0-kHA/edit?usp=sharing"",""แผน!EU73"")"),0)</f>
        <v>0</v>
      </c>
      <c r="J379" s="269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IFERROR(__xludf.DUMMYFUNCTION("IMPORTRANGE(""https://docs.google.com/spreadsheets/d/1QqKyyYR6Q21VydFLVH3TRQUabQu_ym0Zz7PgGX0-kHA/edit?usp=sharing"",""แผน!EU73"")"),0)</f>
        <v>0</v>
      </c>
      <c r="J381" s="269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6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IFERROR(__xludf.DUMMYFUNCTION("IMPORTRANGE(""https://docs.google.com/spreadsheets/d/1MeEWN-I1oV_STSDYn1IFDPWt_1FKiwhDph83XaGc0o0/edit?usp=sharing"",""งบพรบ!FG73"")"),0)</f>
        <v>0</v>
      </c>
      <c r="M394" s="92">
        <f ca="1">IFERROR(__xludf.DUMMYFUNCTION("IMPORTRANGE(""https://docs.google.com/spreadsheets/d/1MeEWN-I1oV_STSDYn1IFDPWt_1FKiwhDph83XaGc0o0/edit?usp=sharing"",""งบพรบ!FL73"")"),0)</f>
        <v>0</v>
      </c>
      <c r="N394" s="92">
        <f ca="1">IFERROR(__xludf.DUMMYFUNCTION("IMPORTRANGE(""https://docs.google.com/spreadsheets/d/1MeEWN-I1oV_STSDYn1IFDPWt_1FKiwhDph83XaGc0o0/edit?usp=sharing"",""งบพรบ!FN73"")"),0)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IFERROR(__xludf.DUMMYFUNCTION("IMPORTRANGE(""https://docs.google.com/spreadsheets/d/1MeEWN-I1oV_STSDYn1IFDPWt_1FKiwhDph83XaGc0o0/edit?usp=sharing"",""งบพรบ!FJ73"")"),0)</f>
        <v>0</v>
      </c>
      <c r="M397" s="92">
        <f ca="1">IFERROR(__xludf.DUMMYFUNCTION("IMPORTRANGE(""https://docs.google.com/spreadsheets/d/1MeEWN-I1oV_STSDYn1IFDPWt_1FKiwhDph83XaGc0o0/edit?usp=sharing"",""งบพรบ!FM73"")"),0)</f>
        <v>0</v>
      </c>
      <c r="N397" s="92">
        <f ca="1">IFERROR(__xludf.DUMMYFUNCTION("IMPORTRANGE(""https://docs.google.com/spreadsheets/d/1MeEWN-I1oV_STSDYn1IFDPWt_1FKiwhDph83XaGc0o0/edit?usp=sharing"",""งบพรบ!FO73"")"),0)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IFERROR(__xludf.DUMMYFUNCTION("IMPORTRANGE(""https://docs.google.com/spreadsheets/d/1MeEWN-I1oV_STSDYn1IFDPWt_1FKiwhDph83XaGc0o0/edit?usp=sharing"",""งบพรบ!FQ73"")"),0)</f>
        <v>0</v>
      </c>
      <c r="M407" s="92">
        <f ca="1">IFERROR(__xludf.DUMMYFUNCTION("IMPORTRANGE(""https://docs.google.com/spreadsheets/d/1MeEWN-I1oV_STSDYn1IFDPWt_1FKiwhDph83XaGc0o0/edit?usp=sharing"",""งบพรบ!FV73"")"),0)</f>
        <v>0</v>
      </c>
      <c r="N407" s="92">
        <f ca="1">IFERROR(__xludf.DUMMYFUNCTION("IMPORTRANGE(""https://docs.google.com/spreadsheets/d/1MeEWN-I1oV_STSDYn1IFDPWt_1FKiwhDph83XaGc0o0/edit?usp=sharing"",""งบพรบ!FX73"")"),0)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IFERROR(__xludf.DUMMYFUNCTION("IMPORTRANGE(""https://docs.google.com/spreadsheets/d/1MeEWN-I1oV_STSDYn1IFDPWt_1FKiwhDph83XaGc0o0/edit?usp=sharing"",""งบพรบ!FT73"")"),0)</f>
        <v>0</v>
      </c>
      <c r="M410" s="92">
        <f ca="1">IFERROR(__xludf.DUMMYFUNCTION("IMPORTRANGE(""https://docs.google.com/spreadsheets/d/1MeEWN-I1oV_STSDYn1IFDPWt_1FKiwhDph83XaGc0o0/edit?usp=sharing"",""งบพรบ!FW73"")"),0)</f>
        <v>0</v>
      </c>
      <c r="N410" s="92">
        <f ca="1">IFERROR(__xludf.DUMMYFUNCTION("IMPORTRANGE(""https://docs.google.com/spreadsheets/d/1MeEWN-I1oV_STSDYn1IFDPWt_1FKiwhDph83XaGc0o0/edit?usp=sharing"",""งบพรบ!FY73"")"),0)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251580</v>
      </c>
      <c r="M414" s="549">
        <f ca="1">M419+M444+M467+M502+M523+M544+M629+M655+M685+M737+M754+M770+M786+M805</f>
        <v>261043</v>
      </c>
      <c r="N414" s="549">
        <f>N419+N444+N467+N502+N523+N544+N629+N655+N685+N737+N754+N770+N786+N805</f>
        <v>261043</v>
      </c>
      <c r="O414" s="549">
        <f ca="1">IF(L414&gt;0,N414*100/L414,0)</f>
        <v>103.76142777645282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10</v>
      </c>
      <c r="J417" s="565">
        <f ca="1">J433</f>
        <v>10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54560</v>
      </c>
      <c r="M419" s="154">
        <f ca="1">M420+M421</f>
        <v>50973</v>
      </c>
      <c r="N419" s="154">
        <f>N420+N421</f>
        <v>50973</v>
      </c>
      <c r="O419" s="154">
        <f t="shared" ref="O419:O424" ca="1" si="71">IF(L419&gt;0,N419*100/L419,0)</f>
        <v>93.425586510263926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54560</v>
      </c>
      <c r="M421" s="92">
        <f t="shared" ca="1" si="73"/>
        <v>50973</v>
      </c>
      <c r="N421" s="92">
        <f t="shared" si="73"/>
        <v>50973</v>
      </c>
      <c r="O421" s="92">
        <f t="shared" ca="1" si="71"/>
        <v>93.425586510263926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54560</v>
      </c>
      <c r="M422" s="497">
        <f ca="1">M423+M424</f>
        <v>50973</v>
      </c>
      <c r="N422" s="497">
        <f>N423+N424</f>
        <v>50973</v>
      </c>
      <c r="O422" s="497">
        <f t="shared" ca="1" si="71"/>
        <v>93.425586510263926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IFERROR(__xludf.DUMMYFUNCTION("IMPORTRANGE(""https://docs.google.com/spreadsheets/d/1QqKyyYR6Q21VydFLVH3TRQUabQu_ym0Zz7PgGX0-kHA/edit?usp=sharing"",""แผน!EY73"")"),54560)</f>
        <v>54560</v>
      </c>
      <c r="M424" s="92">
        <f ca="1">L424-3587</f>
        <v>50973</v>
      </c>
      <c r="N424" s="92">
        <f>N425+N426+N427+N428</f>
        <v>50973</v>
      </c>
      <c r="O424" s="92">
        <f t="shared" ca="1" si="71"/>
        <v>93.425586510263926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f>2210+350+1500+700+3600+3600+1500+700+350+3600+1500+700+3600+1500+700+7200+1500+700+350+1913+2560</f>
        <v>40333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2000+3240+1500+1500+2400</f>
        <v>10640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IFERROR(__xludf.DUMMYFUNCTION("IMPORTRANGE(""https://docs.google.com/spreadsheets/d/1QqKyyYR6Q21VydFLVH3TRQUabQu_ym0Zz7PgGX0-kHA/edit?usp=sharing"",""แผน!FB73"")"),0)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IFERROR(__xludf.DUMMYFUNCTION("IMPORTRANGE(""https://docs.google.com/spreadsheets/d/1QqKyyYR6Q21VydFLVH3TRQUabQu_ym0Zz7PgGX0-kHA/edit?usp=sharing"",""แผน!FE73"")"),0)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IFERROR(__xludf.DUMMYFUNCTION("IMPORTRANGE(""https://docs.google.com/spreadsheets/d/1QqKyyYR6Q21VydFLVH3TRQUabQu_ym0Zz7PgGX0-kHA/edit?usp=sharing"",""แผน!FG73"")"),1)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IFERROR(__xludf.DUMMYFUNCTION("IMPORTRANGE(""https://docs.google.com/spreadsheets/d/1QqKyyYR6Q21VydFLVH3TRQUabQu_ym0Zz7PgGX0-kHA/edit?usp=sharing"",""แผน!FH73"")"),0)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15</v>
      </c>
      <c r="J442" s="585">
        <f>J460</f>
        <v>15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30</v>
      </c>
      <c r="J443" s="565">
        <f>J462</f>
        <v>30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86360</v>
      </c>
      <c r="M444" s="194">
        <f ca="1">M445+M446</f>
        <v>91590</v>
      </c>
      <c r="N444" s="194">
        <f>N445+N446</f>
        <v>91590</v>
      </c>
      <c r="O444" s="194">
        <f t="shared" ref="O444:O449" ca="1" si="75">IF(L444&gt;0,N444*100/L444,0)</f>
        <v>106.05604446503011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86360</v>
      </c>
      <c r="M446" s="92">
        <f t="shared" ca="1" si="77"/>
        <v>91590</v>
      </c>
      <c r="N446" s="92">
        <f t="shared" si="77"/>
        <v>91590</v>
      </c>
      <c r="O446" s="92">
        <f t="shared" ca="1" si="75"/>
        <v>106.05604446503011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86360</v>
      </c>
      <c r="M447" s="497">
        <f ca="1">M448+M449</f>
        <v>91590</v>
      </c>
      <c r="N447" s="497">
        <f>N448+N449</f>
        <v>91590</v>
      </c>
      <c r="O447" s="497">
        <f t="shared" ca="1" si="75"/>
        <v>106.05604446503011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IFERROR(__xludf.DUMMYFUNCTION("IMPORTRANGE(""https://docs.google.com/spreadsheets/d/1QqKyyYR6Q21VydFLVH3TRQUabQu_ym0Zz7PgGX0-kHA/edit?usp=sharing"",""แผน!FJ73"")"),86360)</f>
        <v>86360</v>
      </c>
      <c r="M449" s="92">
        <f ca="1">L449+10990-5760</f>
        <v>91590</v>
      </c>
      <c r="N449" s="92">
        <f>N450+N451+N452+N453</f>
        <v>91590</v>
      </c>
      <c r="O449" s="92">
        <f t="shared" ca="1" si="75"/>
        <v>106.05604446503011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f>26890+3000+1400+6000+3500+7550</f>
        <v>48340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f>19568+14952</f>
        <v>34520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f>2000+1500+5230</f>
        <v>8730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IFERROR(__xludf.DUMMYFUNCTION("IMPORTRANGE(""https://docs.google.com/spreadsheets/d/1QqKyyYR6Q21VydFLVH3TRQUabQu_ym0Zz7PgGX0-kHA/edit?usp=sharing"",""แผน!FM73"")"),0)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IFERROR(__xludf.DUMMYFUNCTION("IMPORTRANGE(""https://docs.google.com/spreadsheets/d/1QqKyyYR6Q21VydFLVH3TRQUabQu_ym0Zz7PgGX0-kHA/edit?usp=sharing"",""แผน!FN73"")"),15)</f>
        <v>15</v>
      </c>
      <c r="J460" s="214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IFERROR(__xludf.DUMMYFUNCTION("IMPORTRANGE(""https://docs.google.com/spreadsheets/d/1QqKyyYR6Q21VydFLVH3TRQUabQu_ym0Zz7PgGX0-kHA/edit?usp=sharing"",""แผน!FO73"")"),30)</f>
        <v>30</v>
      </c>
      <c r="J462" s="214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IFERROR(__xludf.DUMMYFUNCTION("IMPORTRANGE(""https://docs.google.com/spreadsheets/d/1QqKyyYR6Q21VydFLVH3TRQUabQu_ym0Zz7PgGX0-kHA/edit?usp=sharing"",""แผน!FO73"")"),30)</f>
        <v>30</v>
      </c>
      <c r="J463" s="214">
        <v>30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IFERROR(__xludf.DUMMYFUNCTION("IMPORTRANGE(""https://docs.google.com/spreadsheets/d/1QqKyyYR6Q21VydFLVH3TRQUabQu_ym0Zz7PgGX0-kHA/edit?usp=sharing"",""แผน!FN73"")"),15)</f>
        <v>15</v>
      </c>
      <c r="J464" s="214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IFERROR(__xludf.DUMMYFUNCTION("IMPORTRANGE(""https://docs.google.com/spreadsheets/d/1QqKyyYR6Q21VydFLVH3TRQUabQu_ym0Zz7PgGX0-kHA/edit?usp=sharing"",""แผน!FS73"")"),0)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IFERROR(__xludf.DUMMYFUNCTION("IMPORTRANGE(""https://docs.google.com/spreadsheets/d/1QqKyyYR6Q21VydFLVH3TRQUabQu_ym0Zz7PgGX0-kHA/edit?usp=sharing"",""แผน!FV73"")"),0)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IFERROR(__xludf.DUMMYFUNCTION("IMPORTRANGE(""https://docs.google.com/spreadsheets/d/1QqKyyYR6Q21VydFLVH3TRQUabQu_ym0Zz7PgGX0-kHA/edit?usp=sharing"",""แผน!FY73"")"),0)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IFERROR(__xludf.DUMMYFUNCTION("IMPORTRANGE(""https://docs.google.com/spreadsheets/d/1QqKyyYR6Q21VydFLVH3TRQUabQu_ym0Zz7PgGX0-kHA/edit?usp=sharing"",""แผน!FZ73"")"),0)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IFERROR(__xludf.DUMMYFUNCTION("IMPORTRANGE(""https://docs.google.com/spreadsheets/d/1QqKyyYR6Q21VydFLVH3TRQUabQu_ym0Zz7PgGX0-kHA/edit?usp=sharing"",""แผน!GA73"")"),0)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IFERROR(__xludf.DUMMYFUNCTION("IMPORTRANGE(""https://docs.google.com/spreadsheets/d/1QqKyyYR6Q21VydFLVH3TRQUabQu_ym0Zz7PgGX0-kHA/edit?usp=sharing"",""แผน!GB73"")"),0)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IFERROR(__xludf.DUMMYFUNCTION("IMPORTRANGE(""https://docs.google.com/spreadsheets/d/1QqKyyYR6Q21VydFLVH3TRQUabQu_ym0Zz7PgGX0-kHA/edit?usp=sharing"",""แผน!GC73"")"),0)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IFERROR(__xludf.DUMMYFUNCTION("IMPORTRANGE(""https://docs.google.com/spreadsheets/d/1QqKyyYR6Q21VydFLVH3TRQUabQu_ym0Zz7PgGX0-kHA/edit?usp=sharing"",""แผน!FY73"")"),0)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IFERROR(__xludf.DUMMYFUNCTION("IMPORTRANGE(""https://docs.google.com/spreadsheets/d/1QqKyyYR6Q21VydFLVH3TRQUabQu_ym0Zz7PgGX0-kHA/edit?usp=sharing"",""แผน!GA73"")"),0)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IFERROR(__xludf.DUMMYFUNCTION("IMPORTRANGE(""https://docs.google.com/spreadsheets/d/1QqKyyYR6Q21VydFLVH3TRQUabQu_ym0Zz7PgGX0-kHA/edit?usp=sharing"",""แผน!GQ73"")"),0)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IFERROR(__xludf.DUMMYFUNCTION("IMPORTRANGE(""https://docs.google.com/spreadsheets/d/1QqKyyYR6Q21VydFLVH3TRQUabQu_ym0Zz7PgGX0-kHA/edit?usp=sharing"",""แผน!GT73"")"),0)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IFERROR(__xludf.DUMMYFUNCTION("IMPORTRANGE(""https://docs.google.com/spreadsheets/d/1QqKyyYR6Q21VydFLVH3TRQUabQu_ym0Zz7PgGX0-kHA/edit?usp=sharing"",""แผน!GV73"")"),0)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IFERROR(__xludf.DUMMYFUNCTION("IMPORTRANGE(""https://docs.google.com/spreadsheets/d/1QqKyyYR6Q21VydFLVH3TRQUabQu_ym0Zz7PgGX0-kHA/edit?usp=sharing"",""แผน!GW73"")"),0)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IFERROR(__xludf.DUMMYFUNCTION("IMPORTRANGE(""https://docs.google.com/spreadsheets/d/1QqKyyYR6Q21VydFLVH3TRQUabQu_ym0Zz7PgGX0-kHA/edit?usp=sharing"",""แผน!GX73"")"),0)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IFERROR(__xludf.DUMMYFUNCTION("IMPORTRANGE(""https://docs.google.com/spreadsheets/d/1QqKyyYR6Q21VydFLVH3TRQUabQu_ym0Zz7PgGX0-kHA/edit?usp=sharing"",""แผน!GY73"")"),0)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IFERROR(__xludf.DUMMYFUNCTION("IMPORTRANGE(""https://docs.google.com/spreadsheets/d/1QqKyyYR6Q21VydFLVH3TRQUabQu_ym0Zz7PgGX0-kHA/edit?usp=sharing"",""แผน!GZ73"")"),0)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85200</v>
      </c>
      <c r="M544" s="154">
        <f ca="1">M545+M546</f>
        <v>85200</v>
      </c>
      <c r="N544" s="154">
        <f>N545+N546</f>
        <v>85200</v>
      </c>
      <c r="O544" s="154">
        <f t="shared" ref="O544:O549" ca="1" si="88">IF(L544&gt;0,N544*100/L544,0)</f>
        <v>100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85200</v>
      </c>
      <c r="M546" s="92">
        <f ca="1">M549+M556</f>
        <v>85200</v>
      </c>
      <c r="N546" s="92">
        <f>N549+N556</f>
        <v>85200</v>
      </c>
      <c r="O546" s="92">
        <f t="shared" ca="1" si="88"/>
        <v>100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85200</v>
      </c>
      <c r="M547" s="497">
        <f ca="1">M548+M549</f>
        <v>85200</v>
      </c>
      <c r="N547" s="497">
        <f>N548+N549</f>
        <v>85200</v>
      </c>
      <c r="O547" s="497">
        <f t="shared" ca="1" si="88"/>
        <v>100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IFERROR(__xludf.DUMMYFUNCTION("IMPORTRANGE(""https://docs.google.com/spreadsheets/d/1QqKyyYR6Q21VydFLVH3TRQUabQu_ym0Zz7PgGX0-kHA/edit?usp=sharing"",""แผน!HB73"")"),85200)</f>
        <v>85200</v>
      </c>
      <c r="M549" s="92">
        <f ca="1">L549</f>
        <v>85200</v>
      </c>
      <c r="N549" s="92">
        <f>N550+N551+N552+N553+N554</f>
        <v>85200</v>
      </c>
      <c r="O549" s="92">
        <f t="shared" ca="1" si="88"/>
        <v>100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85200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IFERROR(__xludf.DUMMYFUNCTION("IMPORTRANGE(""https://docs.google.com/spreadsheets/d/1QqKyyYR6Q21VydFLVH3TRQUabQu_ym0Zz7PgGX0-kHA/edit?usp=sharing"",""แผน!HF73"")"),0)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IFERROR(__xludf.DUMMYFUNCTION("IMPORTRANGE(""https://docs.google.com/spreadsheets/d/1QqKyyYR6Q21VydFLVH3TRQUabQu_ym0Zz7PgGX0-kHA/edit?usp=sharing"",""แผน!HH73"")"),0)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IFERROR(__xludf.DUMMYFUNCTION("IMPORTRANGE(""https://docs.google.com/spreadsheets/d/1QqKyyYR6Q21VydFLVH3TRQUabQu_ym0Zz7PgGX0-kHA/edit?usp=sharing"",""แผน!HG73"")"),0)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IFERROR(__xludf.DUMMYFUNCTION("IMPORTRANGE(""https://docs.google.com/spreadsheets/d/1QqKyyYR6Q21VydFLVH3TRQUabQu_ym0Zz7PgGX0-kHA/edit?usp=sharing"",""แผน!HH73"")"),0)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IFERROR(__xludf.DUMMYFUNCTION("IMPORTRANGE(""https://docs.google.com/spreadsheets/d/1QqKyyYR6Q21VydFLVH3TRQUabQu_ym0Zz7PgGX0-kHA/edit?usp=sharing"",""แผน!HG73"")"),0)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IFERROR(__xludf.DUMMYFUNCTION("IMPORTRANGE(""https://docs.google.com/spreadsheets/d/1QqKyyYR6Q21VydFLVH3TRQUabQu_ym0Zz7PgGX0-kHA/edit?usp=sharing"",""แผน!HH73"")"),0)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IFERROR(__xludf.DUMMYFUNCTION("IMPORTRANGE(""https://docs.google.com/spreadsheets/d/1QqKyyYR6Q21VydFLVH3TRQUabQu_ym0Zz7PgGX0-kHA/edit?usp=sharing"",""แผน!HG73"")"),0)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258.67</v>
      </c>
      <c r="J592" s="703">
        <f>J593</f>
        <v>259</v>
      </c>
      <c r="K592" s="672">
        <f ca="1">IF(I592&gt;0,J592*100/I592,0)</f>
        <v>100.12757567557118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2">
        <f>J595+J603+J609</f>
        <v>259</v>
      </c>
      <c r="K593" s="410">
        <f ca="1">IF(I593&gt;0,J593*100/I593,0)</f>
        <v>100.12757567557118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IFERROR(__xludf.DUMMYFUNCTION("IMPORTRANGE(""https://docs.google.com/spreadsheets/d/1QqKyyYR6Q21VydFLVH3TRQUabQu_ym0Zz7PgGX0-kHA/edit?usp=sharing"",""แผน!HI73"")"),64)</f>
        <v>64</v>
      </c>
      <c r="J594" s="192">
        <f>J596+J604+J610</f>
        <v>64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253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63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253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63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5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1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579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579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IFERROR(__xludf.DUMMYFUNCTION("IMPORTRANGE(""https://docs.google.com/spreadsheets/d/1QqKyyYR6Q21VydFLVH3TRQUabQu_ym0Zz7PgGX0-kHA/edit?usp=sharing"",""แผน!HN73"")"),0)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IFERROR(__xludf.DUMMYFUNCTION("IMPORTRANGE(""https://docs.google.com/spreadsheets/d/1QqKyyYR6Q21VydFLVH3TRQUabQu_ym0Zz7PgGX0-kHA/edit?usp=sharing"",""แผน!HQ73"")"),0)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IFERROR(__xludf.DUMMYFUNCTION("IMPORTRANGE(""https://docs.google.com/spreadsheets/d/1QqKyyYR6Q21VydFLVH3TRQUabQu_ym0Zz7PgGX0-kHA/edit?usp=sharing"",""แผน!HR73"")"),0)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IFERROR(__xludf.DUMMYFUNCTION("IMPORTRANGE(""https://docs.google.com/spreadsheets/d/1QqKyyYR6Q21VydFLVH3TRQUabQu_ym0Zz7PgGX0-kHA/edit?usp=sharing"",""แผน!HR73"")"),0)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IFERROR(__xludf.DUMMYFUNCTION("IMPORTRANGE(""https://docs.google.com/spreadsheets/d/1XWAQStnk-4SwqDmLtmXYiTMKHgktTP8We1SCoS47DrQ/edit?usp=sharing"",""จัดที่ดิน!AS73"")"),0)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IFERROR(__xludf.DUMMYFUNCTION("IMPORTRANGE(""https://docs.google.com/spreadsheets/d/1QqKyyYR6Q21VydFLVH3TRQUabQu_ym0Zz7PgGX0-kHA/edit?usp=sharing"",""แผน!HS73"")"),0)</f>
        <v>0</v>
      </c>
      <c r="J647" s="269">
        <f ca="1">IFERROR(__xludf.DUMMYFUNCTION("IMPORTRANGE(""https://docs.google.com/spreadsheets/d/1XWAQStnk-4SwqDmLtmXYiTMKHgktTP8We1SCoS47DrQ/edit?usp=sharing"",""จัดที่ดิน!AU73"")"),0)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IFERROR(__xludf.DUMMYFUNCTION("IMPORTRANGE(""https://docs.google.com/spreadsheets/d/1QqKyyYR6Q21VydFLVH3TRQUabQu_ym0Zz7PgGX0-kHA/edit?usp=sharing"",""แผน!HS73"")"),0)</f>
        <v>0</v>
      </c>
      <c r="J649" s="269">
        <f ca="1">IFERROR(__xludf.DUMMYFUNCTION("IMPORTRANGE(""https://docs.google.com/spreadsheets/d/1XWAQStnk-4SwqDmLtmXYiTMKHgktTP8We1SCoS47DrQ/edit?usp=sharing"",""จัดที่ดิน!AW73"")"),0)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IFERROR(__xludf.DUMMYFUNCTION("IMPORTRANGE(""https://docs.google.com/spreadsheets/d/1QqKyyYR6Q21VydFLVH3TRQUabQu_ym0Zz7PgGX0-kHA/edit?usp=sharing"",""แผน!HS73"")"),0)</f>
        <v>0</v>
      </c>
      <c r="J651" s="269">
        <f ca="1">IFERROR(__xludf.DUMMYFUNCTION("IMPORTRANGE(""https://docs.google.com/spreadsheets/d/1XWAQStnk-4SwqDmLtmXYiTMKHgktTP8We1SCoS47DrQ/edit?usp=sharing"",""จัดที่ดิน!AY73"")"),0)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68</v>
      </c>
      <c r="K654" s="672">
        <f ca="1">IF(I654&gt;0,J654*100/I654,0)</f>
        <v>68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12400</v>
      </c>
      <c r="M655" s="194">
        <f ca="1">M656+M657</f>
        <v>20220</v>
      </c>
      <c r="N655" s="194">
        <f>N656+N657</f>
        <v>20220</v>
      </c>
      <c r="O655" s="194">
        <f t="shared" ref="O655:O660" ca="1" si="94">IF(L655&gt;0,N655*100/L655,0)</f>
        <v>163.06451612903226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12400</v>
      </c>
      <c r="M657" s="92">
        <f t="shared" ca="1" si="96"/>
        <v>20220</v>
      </c>
      <c r="N657" s="92">
        <f t="shared" si="96"/>
        <v>20220</v>
      </c>
      <c r="O657" s="92">
        <f t="shared" ca="1" si="94"/>
        <v>163.06451612903226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12400</v>
      </c>
      <c r="M658" s="497">
        <f ca="1">M659+M660</f>
        <v>20220</v>
      </c>
      <c r="N658" s="497">
        <f>N659+N660</f>
        <v>20220</v>
      </c>
      <c r="O658" s="497">
        <f t="shared" ca="1" si="94"/>
        <v>163.06451612903226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IFERROR(__xludf.DUMMYFUNCTION("IMPORTRANGE(""https://docs.google.com/spreadsheets/d/1QqKyyYR6Q21VydFLVH3TRQUabQu_ym0Zz7PgGX0-kHA/edit?usp=sharing"",""แผน!HV73"")"),12400)</f>
        <v>12400</v>
      </c>
      <c r="M660" s="92">
        <f ca="1">L660+7820</f>
        <v>20220</v>
      </c>
      <c r="N660" s="92">
        <f>N661+N662+N663+N664</f>
        <v>20220</v>
      </c>
      <c r="O660" s="92">
        <f t="shared" ca="1" si="94"/>
        <v>163.06451612903226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20220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68</v>
      </c>
      <c r="K669" s="194">
        <f ca="1">IF(I669&gt;0,J669*100/I669,0)</f>
        <v>68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IFERROR(__xludf.DUMMYFUNCTION("IMPORTRANGE(""https://docs.google.com/spreadsheets/d/1QqKyyYR6Q21VydFLVH3TRQUabQu_ym0Zz7PgGX0-kHA/edit?usp=sharing"",""แผน!HZ73"")"),4)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IFERROR(__xludf.DUMMYFUNCTION("IMPORTRANGE(""https://docs.google.com/spreadsheets/d/1QqKyyYR6Q21VydFLVH3TRQUabQu_ym0Zz7PgGX0-kHA/edit?usp=sharing"",""แผน!HZ73"")"),4)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882">
        <v>100</v>
      </c>
      <c r="K672" s="497">
        <f ca="1">IF(I$669&gt;0,J672*100/I$669,0)</f>
        <v>100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882">
        <v>100</v>
      </c>
      <c r="K673" s="497">
        <f ca="1">IF(I$669&gt;0,J673*100/I$669,0)</f>
        <v>100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68</v>
      </c>
      <c r="K674" s="497">
        <f ca="1">IF(I$669&gt;0,J674*100/I$669,0)</f>
        <v>68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68</v>
      </c>
      <c r="K675" s="194">
        <f ca="1">IF(I$669&gt;0,J675*100/I$669,0)</f>
        <v>68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27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41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/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13060</v>
      </c>
      <c r="M685" s="194">
        <f ca="1">M686+M687</f>
        <v>13060</v>
      </c>
      <c r="N685" s="194">
        <f>N686+N687</f>
        <v>13060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13060</v>
      </c>
      <c r="M687" s="92">
        <f t="shared" ca="1" si="97"/>
        <v>13060</v>
      </c>
      <c r="N687" s="92">
        <f t="shared" si="97"/>
        <v>13060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13060</v>
      </c>
      <c r="M688" s="497">
        <f ca="1">M689+M690</f>
        <v>13060</v>
      </c>
      <c r="N688" s="497">
        <f>N689+N690</f>
        <v>13060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IFERROR(__xludf.DUMMYFUNCTION("IMPORTRANGE(""https://docs.google.com/spreadsheets/d/1QqKyyYR6Q21VydFLVH3TRQUabQu_ym0Zz7PgGX0-kHA/edit?usp=sharing"",""แผน!HW73"")"),13060)</f>
        <v>13060</v>
      </c>
      <c r="M690" s="92">
        <f ca="1">L690</f>
        <v>13060</v>
      </c>
      <c r="N690" s="92">
        <f>N691+N692+N693+N694</f>
        <v>13060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13060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69"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69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278</v>
      </c>
      <c r="K708" s="194">
        <f ca="1">IF(I708&gt;0,J708*100/I708,0)</f>
        <v>347.5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42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278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51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53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278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69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69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69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69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69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IFERROR(__xludf.DUMMYFUNCTION("IMPORTRANGE(""https://docs.google.com/spreadsheets/d/1QqKyyYR6Q21VydFLVH3TRQUabQu_ym0Zz7PgGX0-kHA/edit?usp=sharing"",""แผน!JJ73"")"),0)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IFERROR(__xludf.DUMMYFUNCTION("IMPORTRANGE(""https://docs.google.com/spreadsheets/d/1QqKyyYR6Q21VydFLVH3TRQUabQu_ym0Zz7PgGX0-kHA/edit?usp=sharing"",""แผน!JN73"")"),0)</f>
        <v>0</v>
      </c>
      <c r="J800" s="183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IFERROR(__xludf.DUMMYFUNCTION("IMPORTRANGE(""https://docs.google.com/spreadsheets/d/19vJNZY_5yjcGF2XGBMNZRCAIB0Kwfpjp8YEOfu-bneM/edit?usp=sharing"",""งานกองทุน!D73"")"),0)</f>
        <v>0</v>
      </c>
      <c r="J821" s="269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113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IFERROR(__xludf.DUMMYFUNCTION("IMPORTRANGE(""https://docs.google.com/spreadsheets/d/19vJNZY_5yjcGF2XGBMNZRCAIB0Kwfpjp8YEOfu-bneM/edit?usp=sharing"",""งานกองทุน!C73"")"),0)</f>
        <v>0</v>
      </c>
      <c r="J822" s="269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113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IFERROR(__xludf.DUMMYFUNCTION("IMPORTRANGE(""https://docs.google.com/spreadsheets/d/19vJNZY_5yjcGF2XGBMNZRCAIB0Kwfpjp8YEOfu-bneM/edit?usp=sharing"",""งานกองทุน!I73"")"),29317.68)</f>
        <v>29317.68</v>
      </c>
      <c r="J823" s="269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113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IFERROR(__xludf.DUMMYFUNCTION("IMPORTRANGE(""https://docs.google.com/spreadsheets/d/19vJNZY_5yjcGF2XGBMNZRCAIB0Kwfpjp8YEOfu-bneM/edit?usp=sharing"",""งานกองทุน!H73"")"),3)</f>
        <v>3</v>
      </c>
      <c r="J824" s="269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113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IFERROR(__xludf.DUMMYFUNCTION("IMPORTRANGE(""https://docs.google.com/spreadsheets/d/19vJNZY_5yjcGF2XGBMNZRCAIB0Kwfpjp8YEOfu-bneM/edit?usp=sharing"",""งานกองทุน!N73"")"),37951.31)</f>
        <v>37951.31</v>
      </c>
      <c r="J825" s="269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7">
        <f t="shared" ca="1" si="113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IFERROR(__xludf.DUMMYFUNCTION("IMPORTRANGE(""https://docs.google.com/spreadsheets/d/19vJNZY_5yjcGF2XGBMNZRCAIB0Kwfpjp8YEOfu-bneM/edit?usp=sharing"",""งานกองทุน!M73"")"),51)</f>
        <v>51</v>
      </c>
      <c r="J826" s="269">
        <f ca="1">IFERROR(__xludf.DUMMYFUNCTION("IMPORTRANGE(""https://docs.google.com/spreadsheets/d/19vJNZY_5yjcGF2XGBMNZRCAIB0Kwfpjp8YEOfu-bneM/edit?usp=sharing"",""งานกองทุน!O73"")"),51)</f>
        <v>51</v>
      </c>
      <c r="K826" s="497">
        <f t="shared" ca="1" si="113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IFERROR(__xludf.DUMMYFUNCTION("IMPORTRANGE(""https://docs.google.com/spreadsheets/d/19vJNZY_5yjcGF2XGBMNZRCAIB0Kwfpjp8YEOfu-bneM/edit?usp=sharing"",""งานกองทุน!S73"")"),680000)</f>
        <v>680000</v>
      </c>
      <c r="J827" s="269">
        <f ca="1">IFERROR(__xludf.DUMMYFUNCTION("IMPORTRANGE(""https://docs.google.com/spreadsheets/d/19vJNZY_5yjcGF2XGBMNZRCAIB0Kwfpjp8YEOfu-bneM/edit?usp=sharing"",""งานกองทุน!U73"")"),180000)</f>
        <v>180000</v>
      </c>
      <c r="K827" s="497">
        <f t="shared" ca="1" si="113"/>
        <v>26.470588235294116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IFERROR(__xludf.DUMMYFUNCTION("IMPORTRANGE(""https://docs.google.com/spreadsheets/d/19vJNZY_5yjcGF2XGBMNZRCAIB0Kwfpjp8YEOfu-bneM/edit?usp=sharing"",""งานกองทุน!T73"")"),6)</f>
        <v>6</v>
      </c>
      <c r="K828" s="502">
        <f t="shared" ca="1" si="113"/>
        <v>22.222222222222221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9B39F-CF76-4B76-BD2D-979A3AC1A1C4}">
  <sheetPr>
    <outlinePr summaryBelow="0" summaryRight="0"/>
    <pageSetUpPr fitToPage="1"/>
  </sheetPr>
  <dimension ref="A1:Z828"/>
  <sheetViews>
    <sheetView view="pageBreakPreview" topLeftCell="L1" zoomScale="60" zoomScaleNormal="30" workbookViewId="0">
      <pane ySplit="7" topLeftCell="A8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334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3438439</v>
      </c>
      <c r="M8" s="21">
        <f ca="1">M9+M10</f>
        <v>4313975.1500000004</v>
      </c>
      <c r="N8" s="21">
        <f ca="1">N9+N10</f>
        <v>4484267.1500000004</v>
      </c>
      <c r="O8" s="21">
        <f t="shared" ref="O8:O16" ca="1" si="0">IF(L8&gt;0,N8*100/L8,0)</f>
        <v>130.41578315043543</v>
      </c>
      <c r="P8" s="21">
        <f t="shared" ref="P8:P16" ca="1" si="1">IF(M8&gt;0,N8*100/M8,0)</f>
        <v>103.94744972047417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3438439</v>
      </c>
      <c r="M10" s="29">
        <f t="shared" ca="1" si="2"/>
        <v>4313975.1500000004</v>
      </c>
      <c r="N10" s="29">
        <f t="shared" ca="1" si="2"/>
        <v>4484267.1500000004</v>
      </c>
      <c r="O10" s="29">
        <f t="shared" ca="1" si="0"/>
        <v>130.41578315043543</v>
      </c>
      <c r="P10" s="29">
        <f t="shared" ca="1" si="1"/>
        <v>103.94744972047417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3274239</v>
      </c>
      <c r="M11" s="497">
        <f ca="1">M12+M13</f>
        <v>3564575.15</v>
      </c>
      <c r="N11" s="497">
        <f ca="1">N12+N13</f>
        <v>3564575.15</v>
      </c>
      <c r="O11" s="497">
        <f t="shared" ca="1" si="0"/>
        <v>108.86728641372851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3274239</v>
      </c>
      <c r="M13" s="92">
        <f t="shared" ca="1" si="3"/>
        <v>3564575.15</v>
      </c>
      <c r="N13" s="92">
        <f t="shared" ca="1" si="3"/>
        <v>3564575.15</v>
      </c>
      <c r="O13" s="92">
        <f t="shared" ca="1" si="0"/>
        <v>108.86728641372851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164200</v>
      </c>
      <c r="M14" s="497">
        <f ca="1">M15+M16</f>
        <v>749400</v>
      </c>
      <c r="N14" s="497">
        <f ca="1">N15+N16</f>
        <v>919692</v>
      </c>
      <c r="O14" s="497">
        <f t="shared" ca="1" si="0"/>
        <v>560.10475030450675</v>
      </c>
      <c r="P14" s="497">
        <f t="shared" ca="1" si="1"/>
        <v>122.72377902321857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164200</v>
      </c>
      <c r="M16" s="51">
        <f t="shared" ca="1" si="4"/>
        <v>749400</v>
      </c>
      <c r="N16" s="51">
        <f t="shared" ca="1" si="4"/>
        <v>919692</v>
      </c>
      <c r="O16" s="51">
        <f t="shared" ca="1" si="0"/>
        <v>560.10475030450675</v>
      </c>
      <c r="P16" s="51">
        <f t="shared" ca="1" si="1"/>
        <v>122.72377902321857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2634736</v>
      </c>
      <c r="M18" s="21">
        <f ca="1">M19+M20</f>
        <v>3545666.73</v>
      </c>
      <c r="N18" s="21">
        <f ca="1">N19+N20</f>
        <v>3715958.73</v>
      </c>
      <c r="O18" s="21">
        <f t="shared" ref="O18:O26" ca="1" si="5">IF(L18&gt;0,N18*100/L18,0)</f>
        <v>141.03723219328236</v>
      </c>
      <c r="P18" s="21">
        <f t="shared" ref="P18:P26" ca="1" si="6">IF(M18&gt;0,N18*100/M18,0)</f>
        <v>104.80282025829314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2634736</v>
      </c>
      <c r="M20" s="29">
        <f t="shared" ca="1" si="7"/>
        <v>3545666.73</v>
      </c>
      <c r="N20" s="29">
        <f t="shared" ca="1" si="7"/>
        <v>3715958.73</v>
      </c>
      <c r="O20" s="29">
        <f t="shared" ca="1" si="5"/>
        <v>141.03723219328236</v>
      </c>
      <c r="P20" s="29">
        <f t="shared" ca="1" si="6"/>
        <v>104.80282025829314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2470536</v>
      </c>
      <c r="M21" s="497">
        <f ca="1">M22+M23</f>
        <v>2796266.73</v>
      </c>
      <c r="N21" s="497">
        <f ca="1">N22+N23</f>
        <v>2796266.73</v>
      </c>
      <c r="O21" s="497">
        <f t="shared" ca="1" si="5"/>
        <v>113.18461783191988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2470536</v>
      </c>
      <c r="M23" s="92">
        <f t="shared" ca="1" si="8"/>
        <v>2796266.73</v>
      </c>
      <c r="N23" s="92">
        <f t="shared" ca="1" si="8"/>
        <v>2796266.73</v>
      </c>
      <c r="O23" s="92">
        <f t="shared" ca="1" si="5"/>
        <v>113.18461783191988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164200</v>
      </c>
      <c r="M24" s="497">
        <f ca="1">M25+M26</f>
        <v>749400</v>
      </c>
      <c r="N24" s="497">
        <f ca="1">N25+N26</f>
        <v>919692</v>
      </c>
      <c r="O24" s="497">
        <f t="shared" ca="1" si="5"/>
        <v>560.10475030450675</v>
      </c>
      <c r="P24" s="497">
        <f t="shared" ca="1" si="6"/>
        <v>122.72377902321857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164200</v>
      </c>
      <c r="M26" s="51">
        <f t="shared" ca="1" si="9"/>
        <v>749400</v>
      </c>
      <c r="N26" s="51">
        <f t="shared" ca="1" si="9"/>
        <v>919692</v>
      </c>
      <c r="O26" s="51">
        <f t="shared" ca="1" si="5"/>
        <v>560.10475030450675</v>
      </c>
      <c r="P26" s="51">
        <f t="shared" ca="1" si="6"/>
        <v>122.72377902321857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803703</v>
      </c>
      <c r="M28" s="21">
        <f ca="1">M29+M30</f>
        <v>768308.41999999993</v>
      </c>
      <c r="N28" s="21">
        <f>N29+N30</f>
        <v>768308.41999999993</v>
      </c>
      <c r="O28" s="21">
        <f t="shared" ref="O28:O37" ca="1" si="10">IF(L28&gt;0,N28*100/L28,0)</f>
        <v>95.596062226966922</v>
      </c>
      <c r="P28" s="21">
        <f t="shared" ref="P28:P37" ca="1" si="11">IF(M28&gt;0,N28*100/M28,0)</f>
        <v>100.00000000000001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803703</v>
      </c>
      <c r="M30" s="29">
        <f t="shared" ca="1" si="12"/>
        <v>768308.41999999993</v>
      </c>
      <c r="N30" s="29">
        <f t="shared" si="12"/>
        <v>768308.41999999993</v>
      </c>
      <c r="O30" s="29">
        <f t="shared" ca="1" si="10"/>
        <v>95.596062226966922</v>
      </c>
      <c r="P30" s="29">
        <f t="shared" ca="1" si="11"/>
        <v>100.00000000000001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803703</v>
      </c>
      <c r="M31" s="497">
        <f ca="1">M32+M33</f>
        <v>768308.41999999993</v>
      </c>
      <c r="N31" s="497">
        <f>N32+N33</f>
        <v>768308.41999999993</v>
      </c>
      <c r="O31" s="497">
        <f t="shared" ca="1" si="10"/>
        <v>95.596062226966922</v>
      </c>
      <c r="P31" s="497">
        <f t="shared" ca="1" si="11"/>
        <v>100.00000000000001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803703</v>
      </c>
      <c r="M33" s="92">
        <f t="shared" ca="1" si="13"/>
        <v>768308.41999999993</v>
      </c>
      <c r="N33" s="92">
        <f t="shared" si="13"/>
        <v>768308.41999999993</v>
      </c>
      <c r="O33" s="92">
        <f t="shared" ca="1" si="10"/>
        <v>95.596062226966922</v>
      </c>
      <c r="P33" s="92">
        <f t="shared" ca="1" si="11"/>
        <v>100.00000000000001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2634736</v>
      </c>
      <c r="M37" s="58">
        <f ca="1">M41+M53+M66+M88+M119+M132+M149+M165+M181+M261+M277+M298+M315+M328+M345+M389+M402</f>
        <v>3545666.73</v>
      </c>
      <c r="N37" s="58">
        <f ca="1">N41+N53+N66+N88+N119+N132+N149+N165+N181+N261+N277+N298+N315+N328+N345+N389+N402</f>
        <v>3715958.73</v>
      </c>
      <c r="O37" s="58">
        <f t="shared" ca="1" si="10"/>
        <v>141.03723219328236</v>
      </c>
      <c r="P37" s="58">
        <f t="shared" ca="1" si="11"/>
        <v>104.80282025829314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299096</v>
      </c>
      <c r="M41" s="84">
        <f ca="1">M42+M43</f>
        <v>476725</v>
      </c>
      <c r="N41" s="84">
        <f ca="1">N42+N43</f>
        <v>476725</v>
      </c>
      <c r="O41" s="84">
        <f t="shared" ref="O41:O49" ca="1" si="15">IF(L41&gt;0,N41*100/L41,0)</f>
        <v>159.3886243881563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299096</v>
      </c>
      <c r="M43" s="91">
        <f t="shared" ca="1" si="17"/>
        <v>476725</v>
      </c>
      <c r="N43" s="91">
        <f t="shared" ca="1" si="17"/>
        <v>476725</v>
      </c>
      <c r="O43" s="91">
        <f t="shared" ca="1" si="15"/>
        <v>159.3886243881563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299096</v>
      </c>
      <c r="M44" s="497">
        <f ca="1">M45+M46</f>
        <v>476725</v>
      </c>
      <c r="N44" s="497">
        <f ca="1">N45+N46</f>
        <v>476725</v>
      </c>
      <c r="O44" s="497">
        <f t="shared" ca="1" si="15"/>
        <v>159.3886243881563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IFERROR(__xludf.DUMMYFUNCTION("IMPORTRANGE(""https://docs.google.com/spreadsheets/d/1MeEWN-I1oV_STSDYn1IFDPWt_1FKiwhDph83XaGc0o0/edit?usp=sharing"",""งบพรบ!M54"")"),299096)</f>
        <v>299096</v>
      </c>
      <c r="M46" s="92">
        <f ca="1">IFERROR(__xludf.DUMMYFUNCTION("IMPORTRANGE(""https://docs.google.com/spreadsheets/d/1MeEWN-I1oV_STSDYn1IFDPWt_1FKiwhDph83XaGc0o0/edit?usp=sharing"",""งบพรบ!R54"")"),476725)</f>
        <v>476725</v>
      </c>
      <c r="N46" s="92">
        <f ca="1">IFERROR(__xludf.DUMMYFUNCTION("IMPORTRANGE(""https://docs.google.com/spreadsheets/d/1MeEWN-I1oV_STSDYn1IFDPWt_1FKiwhDph83XaGc0o0/edit?usp=sharing"",""งบพรบ!T54"")"),476725)</f>
        <v>476725</v>
      </c>
      <c r="O46" s="92">
        <f t="shared" ca="1" si="15"/>
        <v>159.3886243881563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IFERROR(__xludf.DUMMYFUNCTION("IMPORTRANGE(""https://docs.google.com/spreadsheets/d/1MeEWN-I1oV_STSDYn1IFDPWt_1FKiwhDph83XaGc0o0/edit?usp=sharing"",""งบพรบ!P54"")"),0)</f>
        <v>0</v>
      </c>
      <c r="M49" s="51">
        <f ca="1">IFERROR(__xludf.DUMMYFUNCTION("IMPORTRANGE(""https://docs.google.com/spreadsheets/d/1MeEWN-I1oV_STSDYn1IFDPWt_1FKiwhDph83XaGc0o0/edit?usp=sharing"",""งบพรบ!S54"")"),0)</f>
        <v>0</v>
      </c>
      <c r="N49" s="51">
        <f ca="1">IFERROR(__xludf.DUMMYFUNCTION("IMPORTRANGE(""https://docs.google.com/spreadsheets/d/1MeEWN-I1oV_STSDYn1IFDPWt_1FKiwhDph83XaGc0o0/edit?usp=sharing"",""งบพรบ!U54"")"),0)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617200</v>
      </c>
      <c r="M53" s="115">
        <f ca="1">M54+M55</f>
        <v>1302361.73</v>
      </c>
      <c r="N53" s="115">
        <f ca="1">N54+N55</f>
        <v>1472653.73</v>
      </c>
      <c r="O53" s="115">
        <f t="shared" ref="O53:O61" ca="1" si="18">IF(L53&gt;0,N53*100/L53,0)</f>
        <v>238.6023541801685</v>
      </c>
      <c r="P53" s="115">
        <f t="shared" ref="P53:P61" ca="1" si="19">IF(M53&gt;0,N53*100/M53,0)</f>
        <v>113.07562991735023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617200</v>
      </c>
      <c r="M55" s="122">
        <f t="shared" ca="1" si="20"/>
        <v>1302361.73</v>
      </c>
      <c r="N55" s="122">
        <f t="shared" ca="1" si="20"/>
        <v>1472653.73</v>
      </c>
      <c r="O55" s="122">
        <f t="shared" ca="1" si="18"/>
        <v>238.6023541801685</v>
      </c>
      <c r="P55" s="122">
        <f t="shared" ca="1" si="19"/>
        <v>113.07562991735023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617200</v>
      </c>
      <c r="M56" s="497">
        <f ca="1">M57+M58</f>
        <v>717161.73</v>
      </c>
      <c r="N56" s="497">
        <f ca="1">N57+N58</f>
        <v>717161.73</v>
      </c>
      <c r="O56" s="497">
        <f t="shared" ca="1" si="18"/>
        <v>116.19600291639664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IFERROR(__xludf.DUMMYFUNCTION("IMPORTRANGE(""https://docs.google.com/spreadsheets/d/1MeEWN-I1oV_STSDYn1IFDPWt_1FKiwhDph83XaGc0o0/edit?usp=sharing"",""งบพรบ!W54"")"),617200)</f>
        <v>617200</v>
      </c>
      <c r="M58" s="92">
        <f ca="1">IFERROR(__xludf.DUMMYFUNCTION("IMPORTRANGE(""https://docs.google.com/spreadsheets/d/1MeEWN-I1oV_STSDYn1IFDPWt_1FKiwhDph83XaGc0o0/edit?usp=sharing"",""งบพรบ!AB54"")"),717161.73)</f>
        <v>717161.73</v>
      </c>
      <c r="N58" s="92">
        <f ca="1">IFERROR(__xludf.DUMMYFUNCTION("IMPORTRANGE(""https://docs.google.com/spreadsheets/d/1MeEWN-I1oV_STSDYn1IFDPWt_1FKiwhDph83XaGc0o0/edit?usp=sharing"",""งบพรบ!AD54"")"),717161.73)</f>
        <v>717161.73</v>
      </c>
      <c r="O58" s="92">
        <f t="shared" ca="1" si="18"/>
        <v>116.19600291639664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585200</v>
      </c>
      <c r="N59" s="497">
        <f ca="1">N60+N61</f>
        <v>755492</v>
      </c>
      <c r="O59" s="497">
        <f t="shared" ca="1" si="18"/>
        <v>0</v>
      </c>
      <c r="P59" s="497">
        <f t="shared" ca="1" si="19"/>
        <v>129.0997949419002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IFERROR(__xludf.DUMMYFUNCTION("IMPORTRANGE(""https://docs.google.com/spreadsheets/d/1MeEWN-I1oV_STSDYn1IFDPWt_1FKiwhDph83XaGc0o0/edit?usp=sharing"",""งบพรบ!Z54"")"),0)</f>
        <v>0</v>
      </c>
      <c r="M61" s="51">
        <f ca="1">IFERROR(__xludf.DUMMYFUNCTION("IMPORTRANGE(""https://docs.google.com/spreadsheets/d/1MeEWN-I1oV_STSDYn1IFDPWt_1FKiwhDph83XaGc0o0/edit?usp=sharing"",""งบพรบ!AC54"")"),585200)</f>
        <v>585200</v>
      </c>
      <c r="N61" s="51">
        <f ca="1">IFERROR(__xludf.DUMMYFUNCTION("IMPORTRANGE(""https://docs.google.com/spreadsheets/d/1MeEWN-I1oV_STSDYn1IFDPWt_1FKiwhDph83XaGc0o0/edit?usp=sharing"",""งบพรบ!AE54"")"),755492)</f>
        <v>755492</v>
      </c>
      <c r="O61" s="51">
        <f t="shared" ca="1" si="18"/>
        <v>0</v>
      </c>
      <c r="P61" s="51">
        <f t="shared" ca="1" si="19"/>
        <v>129.0997949419002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IFERROR(__xludf.DUMMYFUNCTION("IMPORTRANGE(""https://docs.google.com/spreadsheets/d/1MeEWN-I1oV_STSDYn1IFDPWt_1FKiwhDph83XaGc0o0/edit?usp=sharing"",""งบพรบ!AG54"")"),0)</f>
        <v>0</v>
      </c>
      <c r="M71" s="92">
        <f ca="1">IFERROR(__xludf.DUMMYFUNCTION("IMPORTRANGE(""https://docs.google.com/spreadsheets/d/1MeEWN-I1oV_STSDYn1IFDPWt_1FKiwhDph83XaGc0o0/edit?usp=sharing"",""งบพรบ!AL54"")"),0)</f>
        <v>0</v>
      </c>
      <c r="N71" s="92">
        <f ca="1">IFERROR(__xludf.DUMMYFUNCTION("IMPORTRANGE(""https://docs.google.com/spreadsheets/d/1MeEWN-I1oV_STSDYn1IFDPWt_1FKiwhDph83XaGc0o0/edit?usp=sharing"",""งบพรบ!AN54"")"),0)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IFERROR(__xludf.DUMMYFUNCTION("IMPORTRANGE(""https://docs.google.com/spreadsheets/d/1MeEWN-I1oV_STSDYn1IFDPWt_1FKiwhDph83XaGc0o0/edit?usp=sharing"",""งบพรบ!AJ54"")"),0)</f>
        <v>0</v>
      </c>
      <c r="M74" s="92">
        <f ca="1">IFERROR(__xludf.DUMMYFUNCTION("IMPORTRANGE(""https://docs.google.com/spreadsheets/d/1MeEWN-I1oV_STSDYn1IFDPWt_1FKiwhDph83XaGc0o0/edit?usp=sharing"",""งบพรบ!AM54"")"),0)</f>
        <v>0</v>
      </c>
      <c r="N74" s="92">
        <f ca="1">IFERROR(__xludf.DUMMYFUNCTION("IMPORTRANGE(""https://docs.google.com/spreadsheets/d/1MeEWN-I1oV_STSDYn1IFDPWt_1FKiwhDph83XaGc0o0/edit?usp=sharing"",""งบพรบ!AO54"")"),0)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IFERROR(__xludf.DUMMYFUNCTION("IMPORTRANGE(""https://docs.google.com/spreadsheets/d/1QqKyyYR6Q21VydFLVH3TRQUabQu_ym0Zz7PgGX0-kHA/edit?usp=sharing"",""แผน!H54"")"),0)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IFERROR(__xludf.DUMMYFUNCTION("IMPORTRANGE(""https://docs.google.com/spreadsheets/d/1QqKyyYR6Q21VydFLVH3TRQUabQu_ym0Zz7PgGX0-kHA/edit?usp=sharing"",""แผน!I54"")"),0)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IFERROR(__xludf.DUMMYFUNCTION("IMPORTRANGE(""https://docs.google.com/spreadsheets/d/1QqKyyYR6Q21VydFLVH3TRQUabQu_ym0Zz7PgGX0-kHA/edit?usp=sharing"",""แผน!F54"")"),0)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IFERROR(__xludf.DUMMYFUNCTION("IMPORTRANGE(""https://docs.google.com/spreadsheets/d/1QqKyyYR6Q21VydFLVH3TRQUabQu_ym0Zz7PgGX0-kHA/edit?usp=sharing"",""แผน!G54"")"),0)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IFERROR(__xludf.DUMMYFUNCTION("IMPORTRANGE(""https://docs.google.com/spreadsheets/d/1QqKyyYR6Q21VydFLVH3TRQUabQu_ym0Zz7PgGX0-kHA/edit?usp=sharing"",""แผน!D54"")"),0)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IFERROR(__xludf.DUMMYFUNCTION("IMPORTRANGE(""https://docs.google.com/spreadsheets/d/1QqKyyYR6Q21VydFLVH3TRQUabQu_ym0Zz7PgGX0-kHA/edit?usp=sharing"",""แผน!E54"")"),0)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IFERROR(__xludf.DUMMYFUNCTION("IMPORTRANGE(""https://docs.google.com/spreadsheets/d/1QqKyyYR6Q21VydFLVH3TRQUabQu_ym0Zz7PgGX0-kHA/edit?usp=sharing"",""แผน!J54"")"),0)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378840</v>
      </c>
      <c r="M88" s="154">
        <f ca="1">M89+M90</f>
        <v>378840</v>
      </c>
      <c r="N88" s="154">
        <f ca="1">N89+N90</f>
        <v>378840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378840</v>
      </c>
      <c r="M90" s="92">
        <f t="shared" ca="1" si="27"/>
        <v>378840</v>
      </c>
      <c r="N90" s="92">
        <f t="shared" ca="1" si="27"/>
        <v>378840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378840</v>
      </c>
      <c r="M91" s="497">
        <f ca="1">M92+M93</f>
        <v>378840</v>
      </c>
      <c r="N91" s="497">
        <f ca="1">N92+N93</f>
        <v>378840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IFERROR(__xludf.DUMMYFUNCTION("IMPORTRANGE(""https://docs.google.com/spreadsheets/d/1MeEWN-I1oV_STSDYn1IFDPWt_1FKiwhDph83XaGc0o0/edit?usp=sharing"",""งบพรบ!AQ54"")"),378840)</f>
        <v>378840</v>
      </c>
      <c r="M93" s="92">
        <f ca="1">IFERROR(__xludf.DUMMYFUNCTION("IMPORTRANGE(""https://docs.google.com/spreadsheets/d/1MeEWN-I1oV_STSDYn1IFDPWt_1FKiwhDph83XaGc0o0/edit?usp=sharing"",""งบพรบ!AV54"")"),378840)</f>
        <v>378840</v>
      </c>
      <c r="N93" s="92">
        <f ca="1">IFERROR(__xludf.DUMMYFUNCTION("IMPORTRANGE(""https://docs.google.com/spreadsheets/d/1MeEWN-I1oV_STSDYn1IFDPWt_1FKiwhDph83XaGc0o0/edit?usp=sharing"",""งบพรบ!AX54"")"),378840)</f>
        <v>378840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IFERROR(__xludf.DUMMYFUNCTION("IMPORTRANGE(""https://docs.google.com/spreadsheets/d/1MeEWN-I1oV_STSDYn1IFDPWt_1FKiwhDph83XaGc0o0/edit?usp=sharing"",""งบพรบ!AT54"")"),0)</f>
        <v>0</v>
      </c>
      <c r="M96" s="92">
        <f ca="1">IFERROR(__xludf.DUMMYFUNCTION("IMPORTRANGE(""https://docs.google.com/spreadsheets/d/1MeEWN-I1oV_STSDYn1IFDPWt_1FKiwhDph83XaGc0o0/edit?usp=sharing"",""งบพรบ!AW54"")"),0)</f>
        <v>0</v>
      </c>
      <c r="N96" s="92">
        <f ca="1">IFERROR(__xludf.DUMMYFUNCTION("IMPORTRANGE(""https://docs.google.com/spreadsheets/d/1MeEWN-I1oV_STSDYn1IFDPWt_1FKiwhDph83XaGc0o0/edit?usp=sharing"",""งบพรบ!AY54"")"),0)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IFERROR(__xludf.DUMMYFUNCTION("IMPORTRANGE(""https://docs.google.com/spreadsheets/d/1QqKyyYR6Q21VydFLVH3TRQUabQu_ym0Zz7PgGX0-kHA/edit?usp=sharing"",""แผน!K54"")"),30)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IFERROR(__xludf.DUMMYFUNCTION("IMPORTRANGE(""https://docs.google.com/spreadsheets/d/1QqKyyYR6Q21VydFLVH3TRQUabQu_ym0Zz7PgGX0-kHA/edit?usp=sharing"",""แผน!L54"")"),10)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IFERROR(__xludf.DUMMYFUNCTION("IMPORTRANGE(""https://docs.google.com/spreadsheets/d/1QqKyyYR6Q21VydFLVH3TRQUabQu_ym0Zz7PgGX0-kHA/edit?usp=sharing"",""แผน!M54"")"),2)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IFERROR(__xludf.DUMMYFUNCTION("IMPORTRANGE(""https://docs.google.com/spreadsheets/d/1QqKyyYR6Q21VydFLVH3TRQUabQu_ym0Zz7PgGX0-kHA/edit?usp=sharing"",""แผน!N54"")"),30)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IFERROR(__xludf.DUMMYFUNCTION("IMPORTRANGE(""https://docs.google.com/spreadsheets/d/1QqKyyYR6Q21VydFLVH3TRQUabQu_ym0Zz7PgGX0-kHA/edit?usp=sharing"",""แผน!O54"")"),10)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IFERROR(__xludf.DUMMYFUNCTION("IMPORTRANGE(""https://docs.google.com/spreadsheets/d/1QqKyyYR6Q21VydFLVH3TRQUabQu_ym0Zz7PgGX0-kHA/edit?usp=sharing"",""แผน!O54"")"),10)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IFERROR(__xludf.DUMMYFUNCTION("IMPORTRANGE(""https://docs.google.com/spreadsheets/d/1QqKyyYR6Q21VydFLVH3TRQUabQu_ym0Zz7PgGX0-kHA/edit?usp=sharing"",""แผน!P54"")"),1)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IFERROR(__xludf.DUMMYFUNCTION("IMPORTRANGE(""https://docs.google.com/spreadsheets/d/1QqKyyYR6Q21VydFLVH3TRQUabQu_ym0Zz7PgGX0-kHA/edit?usp=sharing"",""แผน!P54"")"),1)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IFERROR(__xludf.DUMMYFUNCTION("IMPORTRANGE(""https://docs.google.com/spreadsheets/d/1QqKyyYR6Q21VydFLVH3TRQUabQu_ym0Zz7PgGX0-kHA/edit?usp=sharing"",""แผน!Q54"")"),1)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IFERROR(__xludf.DUMMYFUNCTION("IMPORTRANGE(""https://docs.google.com/spreadsheets/d/1QqKyyYR6Q21VydFLVH3TRQUabQu_ym0Zz7PgGX0-kHA/edit?usp=sharing"",""แผน!Q54"")"),1)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IFERROR(__xludf.DUMMYFUNCTION("IMPORTRANGE(""https://docs.google.com/spreadsheets/d/1QqKyyYR6Q21VydFLVH3TRQUabQu_ym0Zz7PgGX0-kHA/edit?usp=sharing"",""แผน!R54"")"),10)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IFERROR(__xludf.DUMMYFUNCTION("IMPORTRANGE(""https://docs.google.com/spreadsheets/d/1QqKyyYR6Q21VydFLVH3TRQUabQu_ym0Zz7PgGX0-kHA/edit?usp=sharing"",""แผน!R54"")"),10)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IFERROR(__xludf.DUMMYFUNCTION("IMPORTRANGE(""https://docs.google.com/spreadsheets/d/1QqKyyYR6Q21VydFLVH3TRQUabQu_ym0Zz7PgGX0-kHA/edit?usp=sharing"",""แผน!S54"")"),1)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IFERROR(__xludf.DUMMYFUNCTION("IMPORTRANGE(""https://docs.google.com/spreadsheets/d/1QqKyyYR6Q21VydFLVH3TRQUabQu_ym0Zz7PgGX0-kHA/edit?usp=sharing"",""แผน!T54"")"),1)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IFERROR(__xludf.DUMMYFUNCTION("IMPORTRANGE(""https://docs.google.com/spreadsheets/d/1MeEWN-I1oV_STSDYn1IFDPWt_1FKiwhDph83XaGc0o0/edit?usp=sharing"",""งบพรบ!BA54"")"),0)</f>
        <v>0</v>
      </c>
      <c r="M124" s="92">
        <f ca="1">IFERROR(__xludf.DUMMYFUNCTION("IMPORTRANGE(""https://docs.google.com/spreadsheets/d/1MeEWN-I1oV_STSDYn1IFDPWt_1FKiwhDph83XaGc0o0/edit?usp=sharing"",""งบพรบ!BF54"")"),0)</f>
        <v>0</v>
      </c>
      <c r="N124" s="92">
        <f ca="1">IFERROR(__xludf.DUMMYFUNCTION("IMPORTRANGE(""https://docs.google.com/spreadsheets/d/1MeEWN-I1oV_STSDYn1IFDPWt_1FKiwhDph83XaGc0o0/edit?usp=sharing"",""งบพรบ!BH54"")"),0)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IFERROR(__xludf.DUMMYFUNCTION("IMPORTRANGE(""https://docs.google.com/spreadsheets/d/1MeEWN-I1oV_STSDYn1IFDPWt_1FKiwhDph83XaGc0o0/edit?usp=sharing"",""งบพรบ!BD54"")"),0)</f>
        <v>0</v>
      </c>
      <c r="M127" s="92">
        <f ca="1">IFERROR(__xludf.DUMMYFUNCTION("IMPORTRANGE(""https://docs.google.com/spreadsheets/d/1MeEWN-I1oV_STSDYn1IFDPWt_1FKiwhDph83XaGc0o0/edit?usp=sharing"",""งบพรบ!BG54"")"),0)</f>
        <v>0</v>
      </c>
      <c r="N127" s="92">
        <f ca="1">IFERROR(__xludf.DUMMYFUNCTION("IMPORTRANGE(""https://docs.google.com/spreadsheets/d/1MeEWN-I1oV_STSDYn1IFDPWt_1FKiwhDph83XaGc0o0/edit?usp=sharing"",""งบพรบ!BI54"")"),0)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IFERROR(__xludf.DUMMYFUNCTION("IMPORTRANGE(""https://docs.google.com/spreadsheets/d/1MeEWN-I1oV_STSDYn1IFDPWt_1FKiwhDph83XaGc0o0/edit?usp=sharing"",""งบพรบ!BK54"")"),0)</f>
        <v>0</v>
      </c>
      <c r="M137" s="92">
        <f ca="1">IFERROR(__xludf.DUMMYFUNCTION("IMPORTRANGE(""https://docs.google.com/spreadsheets/d/1MeEWN-I1oV_STSDYn1IFDPWt_1FKiwhDph83XaGc0o0/edit?usp=sharing"",""งบพรบ!BP54"")"),0)</f>
        <v>0</v>
      </c>
      <c r="N137" s="92">
        <f ca="1">IFERROR(__xludf.DUMMYFUNCTION("IMPORTRANGE(""https://docs.google.com/spreadsheets/d/1MeEWN-I1oV_STSDYn1IFDPWt_1FKiwhDph83XaGc0o0/edit?usp=sharing"",""งบพรบ!BR54"")"),0)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IFERROR(__xludf.DUMMYFUNCTION("IMPORTRANGE(""https://docs.google.com/spreadsheets/d/1MeEWN-I1oV_STSDYn1IFDPWt_1FKiwhDph83XaGc0o0/edit?usp=sharing"",""งบพรบ!BN54"")"),0)</f>
        <v>0</v>
      </c>
      <c r="M140" s="92">
        <f ca="1">IFERROR(__xludf.DUMMYFUNCTION("IMPORTRANGE(""https://docs.google.com/spreadsheets/d/1MeEWN-I1oV_STSDYn1IFDPWt_1FKiwhDph83XaGc0o0/edit?usp=sharing"",""งบพรบ!BQ54"")"),0)</f>
        <v>0</v>
      </c>
      <c r="N140" s="92">
        <f ca="1">IFERROR(__xludf.DUMMYFUNCTION("IMPORTRANGE(""https://docs.google.com/spreadsheets/d/1MeEWN-I1oV_STSDYn1IFDPWt_1FKiwhDph83XaGc0o0/edit?usp=sharing"",""งบพรบ!BS54"")"),0)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IFERROR(__xludf.DUMMYFUNCTION("IMPORTRANGE(""https://docs.google.com/spreadsheets/d/1QqKyyYR6Q21VydFLVH3TRQUabQu_ym0Zz7PgGX0-kHA/edit?usp=sharing"",""แผน!U54"")"),0)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IFERROR(__xludf.DUMMYFUNCTION("IMPORTRANGE(""https://docs.google.com/spreadsheets/d/1QqKyyYR6Q21VydFLVH3TRQUabQu_ym0Zz7PgGX0-kHA/edit?usp=sharing"",""แผน!V54"")"),0)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IFERROR(__xludf.DUMMYFUNCTION("IMPORTRANGE(""https://docs.google.com/spreadsheets/d/1QqKyyYR6Q21VydFLVH3TRQUabQu_ym0Zz7PgGX0-kHA/edit?usp=sharing"",""แผน!W54"")"),0)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2240</v>
      </c>
      <c r="N149" s="154">
        <f ca="1">N150+N151</f>
        <v>2240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2240</v>
      </c>
      <c r="N151" s="92">
        <f t="shared" ca="1" si="37"/>
        <v>2240</v>
      </c>
      <c r="O151" s="92">
        <f t="shared" ca="1" si="35"/>
        <v>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2240</v>
      </c>
      <c r="N152" s="497">
        <f ca="1">N153+N154</f>
        <v>2240</v>
      </c>
      <c r="O152" s="497">
        <f t="shared" ca="1" si="35"/>
        <v>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IFERROR(__xludf.DUMMYFUNCTION("IMPORTRANGE(""https://docs.google.com/spreadsheets/d/1MeEWN-I1oV_STSDYn1IFDPWt_1FKiwhDph83XaGc0o0/edit?usp=sharing"",""งบพรบ!BU54"")"),0)</f>
        <v>0</v>
      </c>
      <c r="M154" s="92">
        <f ca="1">IFERROR(__xludf.DUMMYFUNCTION("IMPORTRANGE(""https://docs.google.com/spreadsheets/d/1MeEWN-I1oV_STSDYn1IFDPWt_1FKiwhDph83XaGc0o0/edit?usp=sharing"",""งบพรบ!BZ54"")"),2240)</f>
        <v>2240</v>
      </c>
      <c r="N154" s="92">
        <f ca="1">IFERROR(__xludf.DUMMYFUNCTION("IMPORTRANGE(""https://docs.google.com/spreadsheets/d/1MeEWN-I1oV_STSDYn1IFDPWt_1FKiwhDph83XaGc0o0/edit?usp=sharing"",""งบพรบ!CB54"")"),2240)</f>
        <v>2240</v>
      </c>
      <c r="O154" s="92">
        <f t="shared" ca="1" si="35"/>
        <v>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IFERROR(__xludf.DUMMYFUNCTION("IMPORTRANGE(""https://docs.google.com/spreadsheets/d/1MeEWN-I1oV_STSDYn1IFDPWt_1FKiwhDph83XaGc0o0/edit?usp=sharing"",""งบพรบ!BX54"")"),0)</f>
        <v>0</v>
      </c>
      <c r="M157" s="92">
        <f ca="1">IFERROR(__xludf.DUMMYFUNCTION("IMPORTRANGE(""https://docs.google.com/spreadsheets/d/1MeEWN-I1oV_STSDYn1IFDPWt_1FKiwhDph83XaGc0o0/edit?usp=sharing"",""งบพรบ!CA54"")"),0)</f>
        <v>0</v>
      </c>
      <c r="N157" s="92">
        <f ca="1">IFERROR(__xludf.DUMMYFUNCTION("IMPORTRANGE(""https://docs.google.com/spreadsheets/d/1MeEWN-I1oV_STSDYn1IFDPWt_1FKiwhDph83XaGc0o0/edit?usp=sharing"",""งบพรบ!CC54"")"),0)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IFERROR(__xludf.DUMMYFUNCTION("IMPORTRANGE(""https://docs.google.com/spreadsheets/d/1QqKyyYR6Q21VydFLVH3TRQUabQu_ym0Zz7PgGX0-kHA/edit?usp=sharing"",""แผน!X54"")"),0)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48490</v>
      </c>
      <c r="N165" s="154">
        <f ca="1">N166+N167</f>
        <v>48490</v>
      </c>
      <c r="O165" s="154">
        <f t="shared" ref="O165:O173" ca="1" si="38">IF(L165&gt;0,N165*100/L165,0)</f>
        <v>230.3562945368171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48490</v>
      </c>
      <c r="N167" s="92">
        <f t="shared" ca="1" si="40"/>
        <v>48490</v>
      </c>
      <c r="O167" s="92">
        <f t="shared" ca="1" si="38"/>
        <v>230.3562945368171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48490</v>
      </c>
      <c r="N168" s="497">
        <f ca="1">N169+N170</f>
        <v>48490</v>
      </c>
      <c r="O168" s="497">
        <f t="shared" ca="1" si="38"/>
        <v>230.3562945368171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IFERROR(__xludf.DUMMYFUNCTION("IMPORTRANGE(""https://docs.google.com/spreadsheets/d/1MeEWN-I1oV_STSDYn1IFDPWt_1FKiwhDph83XaGc0o0/edit?usp=sharing"",""งบพรบ!CE54"")"),21050)</f>
        <v>21050</v>
      </c>
      <c r="M170" s="92">
        <f ca="1">IFERROR(__xludf.DUMMYFUNCTION("IMPORTRANGE(""https://docs.google.com/spreadsheets/d/1MeEWN-I1oV_STSDYn1IFDPWt_1FKiwhDph83XaGc0o0/edit?usp=sharing"",""งบพรบ!CJ54"")"),48490)</f>
        <v>48490</v>
      </c>
      <c r="N170" s="92">
        <f ca="1">IFERROR(__xludf.DUMMYFUNCTION("IMPORTRANGE(""https://docs.google.com/spreadsheets/d/1MeEWN-I1oV_STSDYn1IFDPWt_1FKiwhDph83XaGc0o0/edit?usp=sharing"",""งบพรบ!CL54"")"),48490)</f>
        <v>48490</v>
      </c>
      <c r="O170" s="92">
        <f t="shared" ca="1" si="38"/>
        <v>230.3562945368171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IFERROR(__xludf.DUMMYFUNCTION("IMPORTRANGE(""https://docs.google.com/spreadsheets/d/1MeEWN-I1oV_STSDYn1IFDPWt_1FKiwhDph83XaGc0o0/edit?usp=sharing"",""งบพรบ!CH54"")"),0)</f>
        <v>0</v>
      </c>
      <c r="M173" s="92">
        <f ca="1">IFERROR(__xludf.DUMMYFUNCTION("IMPORTRANGE(""https://docs.google.com/spreadsheets/d/1MeEWN-I1oV_STSDYn1IFDPWt_1FKiwhDph83XaGc0o0/edit?usp=sharing"",""งบพรบ!CK54"")"),0)</f>
        <v>0</v>
      </c>
      <c r="N173" s="92">
        <f ca="1">IFERROR(__xludf.DUMMYFUNCTION("IMPORTRANGE(""https://docs.google.com/spreadsheets/d/1MeEWN-I1oV_STSDYn1IFDPWt_1FKiwhDph83XaGc0o0/edit?usp=sharing"",""งบพรบ!CM54"")"),0)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IFERROR(__xludf.DUMMYFUNCTION("IMPORTRANGE(""https://docs.google.com/spreadsheets/d/1QqKyyYR6Q21VydFLVH3TRQUabQu_ym0Zz7PgGX0-kHA/edit?usp=sharing"",""แผน!Y54"")"),10)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142100</v>
      </c>
      <c r="M181" s="154">
        <f ca="1">M182+M183</f>
        <v>150060</v>
      </c>
      <c r="N181" s="154">
        <f ca="1">N182+N183</f>
        <v>150060</v>
      </c>
      <c r="O181" s="154">
        <f t="shared" ref="O181:O189" ca="1" si="41">IF(L181&gt;0,N181*100/L181,0)</f>
        <v>105.60168895144264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142100</v>
      </c>
      <c r="M183" s="92">
        <f t="shared" ca="1" si="43"/>
        <v>150060</v>
      </c>
      <c r="N183" s="92">
        <f t="shared" ca="1" si="43"/>
        <v>150060</v>
      </c>
      <c r="O183" s="92">
        <f t="shared" ca="1" si="41"/>
        <v>105.60168895144264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142100</v>
      </c>
      <c r="M184" s="497">
        <f ca="1">M185+M186</f>
        <v>150060</v>
      </c>
      <c r="N184" s="497">
        <f ca="1">N185+N186</f>
        <v>150060</v>
      </c>
      <c r="O184" s="497">
        <f t="shared" ca="1" si="41"/>
        <v>105.60168895144264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IFERROR(__xludf.DUMMYFUNCTION("IMPORTRANGE(""https://docs.google.com/spreadsheets/d/1MeEWN-I1oV_STSDYn1IFDPWt_1FKiwhDph83XaGc0o0/edit?usp=sharing"",""งบพรบ!CO54"")"),142100)</f>
        <v>142100</v>
      </c>
      <c r="M186" s="92">
        <f ca="1">IFERROR(__xludf.DUMMYFUNCTION("IMPORTRANGE(""https://docs.google.com/spreadsheets/d/1MeEWN-I1oV_STSDYn1IFDPWt_1FKiwhDph83XaGc0o0/edit?usp=sharing"",""งบพรบ!CT54"")"),150060)</f>
        <v>150060</v>
      </c>
      <c r="N186" s="92">
        <f ca="1">IFERROR(__xludf.DUMMYFUNCTION("IMPORTRANGE(""https://docs.google.com/spreadsheets/d/1MeEWN-I1oV_STSDYn1IFDPWt_1FKiwhDph83XaGc0o0/edit?usp=sharing"",""งบพรบ!CV54"")"),150060)</f>
        <v>150060</v>
      </c>
      <c r="O186" s="92">
        <f t="shared" ca="1" si="41"/>
        <v>105.60168895144264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IFERROR(__xludf.DUMMYFUNCTION("IMPORTRANGE(""https://docs.google.com/spreadsheets/d/1MeEWN-I1oV_STSDYn1IFDPWt_1FKiwhDph83XaGc0o0/edit?usp=sharing"",""งบพรบ!CR54"")"),0)</f>
        <v>0</v>
      </c>
      <c r="M189" s="92">
        <f ca="1">IFERROR(__xludf.DUMMYFUNCTION("IMPORTRANGE(""https://docs.google.com/spreadsheets/d/1MeEWN-I1oV_STSDYn1IFDPWt_1FKiwhDph83XaGc0o0/edit?usp=sharing"",""งบพรบ!CU54"")"),0)</f>
        <v>0</v>
      </c>
      <c r="N189" s="92">
        <f ca="1">IFERROR(__xludf.DUMMYFUNCTION("IMPORTRANGE(""https://docs.google.com/spreadsheets/d/1MeEWN-I1oV_STSDYn1IFDPWt_1FKiwhDph83XaGc0o0/edit?usp=sharing"",""งบพรบ!CW54"")"),0)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IFERROR(__xludf.DUMMYFUNCTION("IMPORTRANGE(""https://docs.google.com/spreadsheets/d/1QqKyyYR6Q21VydFLVH3TRQUabQu_ym0Zz7PgGX0-kHA/edit?usp=sharing"",""แผน!Z54"")"),6000)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IFERROR(__xludf.DUMMYFUNCTION("IMPORTRANGE(""https://docs.google.com/spreadsheets/d/1QqKyyYR6Q21VydFLVH3TRQUabQu_ym0Zz7PgGX0-kHA/edit?usp=sharing"",""แผน!AC54"")"),4)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348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348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2</v>
      </c>
      <c r="J197" s="271">
        <f>J204</f>
        <v>2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26000</v>
      </c>
      <c r="M198" s="154"/>
      <c r="N198" s="154">
        <f>N199+N200+N201+N202</f>
        <v>26000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3">
        <v>2000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3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3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IFERROR(__xludf.DUMMYFUNCTION("IMPORTRANGE(""https://docs.google.com/spreadsheets/d/1QqKyyYR6Q21VydFLVH3TRQUabQu_ym0Zz7PgGX0-kHA/edit?usp=sharing"",""แผน!AI54"")"),2)</f>
        <v>2</v>
      </c>
      <c r="J204" s="214">
        <v>2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2</v>
      </c>
      <c r="J206" s="214">
        <v>2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1</v>
      </c>
      <c r="J208" s="271">
        <f>J215</f>
        <v>1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3">
        <v>1000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3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3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IFERROR(__xludf.DUMMYFUNCTION("IMPORTRANGE(""https://docs.google.com/spreadsheets/d/1QqKyyYR6Q21VydFLVH3TRQUabQu_ym0Zz7PgGX0-kHA/edit?usp=sharing"",""แผน!AN54"")"),1)</f>
        <v>1</v>
      </c>
      <c r="J214" s="214">
        <v>1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IFERROR(__xludf.DUMMYFUNCTION("IMPORTRANGE(""https://docs.google.com/spreadsheets/d/1QqKyyYR6Q21VydFLVH3TRQUabQu_ym0Zz7PgGX0-kHA/edit?usp=sharing"",""แผน!AN54"")"),1)</f>
        <v>1</v>
      </c>
      <c r="J215" s="214">
        <v>1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12800</v>
      </c>
      <c r="J216" s="271">
        <f>J224</f>
        <v>12800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7100</v>
      </c>
      <c r="M217" s="154"/>
      <c r="N217" s="154">
        <f>N218+N219+N220</f>
        <v>7100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3">
        <v>4100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IFERROR(__xludf.DUMMYFUNCTION("IMPORTRANGE(""https://docs.google.com/spreadsheets/d/1QqKyyYR6Q21VydFLVH3TRQUabQu_ym0Zz7PgGX0-kHA/edit?usp=sharing"",""แผน!AT54"")"),12800)</f>
        <v>12800</v>
      </c>
      <c r="J223" s="214">
        <v>12800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IFERROR(__xludf.DUMMYFUNCTION("IMPORTRANGE(""https://docs.google.com/spreadsheets/d/1QqKyyYR6Q21VydFLVH3TRQUabQu_ym0Zz7PgGX0-kHA/edit?usp=sharing"",""แผน!AT54"")"),12800)</f>
        <v>12800</v>
      </c>
      <c r="J224" s="214">
        <v>12800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IFERROR(__xludf.DUMMYFUNCTION("IMPORTRANGE(""https://docs.google.com/spreadsheets/d/1QqKyyYR6Q21VydFLVH3TRQUabQu_ym0Zz7PgGX0-kHA/edit?usp=sharing"",""แผน!AS54"")"),0)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89000</v>
      </c>
      <c r="M227" s="355"/>
      <c r="N227" s="355">
        <f>N238+N249</f>
        <v>89000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39000</v>
      </c>
      <c r="M229" s="92"/>
      <c r="N229" s="92">
        <f>N240+N251</f>
        <v>39000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20000</v>
      </c>
      <c r="M230" s="92"/>
      <c r="N230" s="92">
        <f>N241+N252</f>
        <v>20000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89000</v>
      </c>
      <c r="M238" s="154"/>
      <c r="N238" s="154">
        <f>N239+N240+N241+N242</f>
        <v>89000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IFERROR(__xludf.DUMMYFUNCTION("IMPORTRANGE(""https://docs.google.com/spreadsheets/d/1QqKyyYR6Q21VydFLVH3TRQUabQu_ym0Zz7PgGX0-kHA/edit?usp=sharing"",""แผน!AV54"")"),20000)</f>
        <v>20000</v>
      </c>
      <c r="M239" s="282"/>
      <c r="N239" s="862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IFERROR(__xludf.DUMMYFUNCTION("IMPORTRANGE(""https://docs.google.com/spreadsheets/d/1QqKyyYR6Q21VydFLVH3TRQUabQu_ym0Zz7PgGX0-kHA/edit?usp=sharing"",""แผน!AW54"")"),39000)</f>
        <v>39000</v>
      </c>
      <c r="M240" s="282"/>
      <c r="N240" s="862">
        <v>39000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IFERROR(__xludf.DUMMYFUNCTION("IMPORTRANGE(""https://docs.google.com/spreadsheets/d/1QqKyyYR6Q21VydFLVH3TRQUabQu_ym0Zz7PgGX0-kHA/edit?usp=sharing"",""แผน!AX54"")"),20000)</f>
        <v>20000</v>
      </c>
      <c r="M241" s="282"/>
      <c r="N241" s="862">
        <v>20000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IFERROR(__xludf.DUMMYFUNCTION("IMPORTRANGE(""https://docs.google.com/spreadsheets/d/1QqKyyYR6Q21VydFLVH3TRQUabQu_ym0Zz7PgGX0-kHA/edit?usp=sharing"",""แผน!AY54"")"),10000)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IFERROR(__xludf.DUMMYFUNCTION("IMPORTRANGE(""https://docs.google.com/spreadsheets/d/1QqKyyYR6Q21VydFLVH3TRQUabQu_ym0Zz7PgGX0-kHA/edit?usp=sharing"",""แผน!BE54"")"),20)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IFERROR(__xludf.DUMMYFUNCTION("IMPORTRANGE(""https://docs.google.com/spreadsheets/d/1QqKyyYR6Q21VydFLVH3TRQUabQu_ym0Zz7PgGX0-kHA/edit?usp=sharing"",""แผน!AZ54"")"),0)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IFERROR(__xludf.DUMMYFUNCTION("IMPORTRANGE(""https://docs.google.com/spreadsheets/d/1QqKyyYR6Q21VydFLVH3TRQUabQu_ym0Zz7PgGX0-kHA/edit?usp=sharing"",""แผน!BA54"")"),0)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IFERROR(__xludf.DUMMYFUNCTION("IMPORTRANGE(""https://docs.google.com/spreadsheets/d/1QqKyyYR6Q21VydFLVH3TRQUabQu_ym0Zz7PgGX0-kHA/edit?usp=sharing"",""แผน!BB54"")"),0)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IFERROR(__xludf.DUMMYFUNCTION("IMPORTRANGE(""https://docs.google.com/spreadsheets/d/1QqKyyYR6Q21VydFLVH3TRQUabQu_ym0Zz7PgGX0-kHA/edit?usp=sharing"",""แผน!BC54"")"),0)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IFERROR(__xludf.DUMMYFUNCTION("IMPORTRANGE(""https://docs.google.com/spreadsheets/d/1QqKyyYR6Q21VydFLVH3TRQUabQu_ym0Zz7PgGX0-kHA/edit?usp=sharing"",""แผน!BF54"")"),0)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IFERROR(__xludf.DUMMYFUNCTION("IMPORTRANGE(""https://docs.google.com/spreadsheets/d/1MeEWN-I1oV_STSDYn1IFDPWt_1FKiwhDph83XaGc0o0/edit?usp=sharing"",""งบพรบ!CY54"")"),26900)</f>
        <v>26900</v>
      </c>
      <c r="M266" s="92">
        <f ca="1">IFERROR(__xludf.DUMMYFUNCTION("IMPORTRANGE(""https://docs.google.com/spreadsheets/d/1MeEWN-I1oV_STSDYn1IFDPWt_1FKiwhDph83XaGc0o0/edit?usp=sharing"",""งบพรบ!DD54"")"),26900)</f>
        <v>26900</v>
      </c>
      <c r="N266" s="92">
        <f ca="1">IFERROR(__xludf.DUMMYFUNCTION("IMPORTRANGE(""https://docs.google.com/spreadsheets/d/1MeEWN-I1oV_STSDYn1IFDPWt_1FKiwhDph83XaGc0o0/edit?usp=sharing"",""งบพรบ!DF54"")"),26900)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IFERROR(__xludf.DUMMYFUNCTION("IMPORTRANGE(""https://docs.google.com/spreadsheets/d/1MeEWN-I1oV_STSDYn1IFDPWt_1FKiwhDph83XaGc0o0/edit?usp=sharing"",""งบพรบ!DB54"")"),0)</f>
        <v>0</v>
      </c>
      <c r="M269" s="92">
        <f ca="1">IFERROR(__xludf.DUMMYFUNCTION("IMPORTRANGE(""https://docs.google.com/spreadsheets/d/1MeEWN-I1oV_STSDYn1IFDPWt_1FKiwhDph83XaGc0o0/edit?usp=sharing"",""งบพรบ!DE54"")"),0)</f>
        <v>0</v>
      </c>
      <c r="N269" s="92">
        <f ca="1">IFERROR(__xludf.DUMMYFUNCTION("IMPORTRANGE(""https://docs.google.com/spreadsheets/d/1MeEWN-I1oV_STSDYn1IFDPWt_1FKiwhDph83XaGc0o0/edit?usp=sharing"",""งบพรบ!DG54"")"),0)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IFERROR(__xludf.DUMMYFUNCTION("IMPORTRANGE(""https://docs.google.com/spreadsheets/d/1QqKyyYR6Q21VydFLVH3TRQUabQu_ym0Zz7PgGX0-kHA/edit?usp=sharing"",""แผน!EA54"")"),22)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IFERROR(__xludf.DUMMYFUNCTION("IMPORTRANGE(""https://docs.google.com/spreadsheets/d/1MeEWN-I1oV_STSDYn1IFDPWt_1FKiwhDph83XaGc0o0/edit?usp=sharing"",""งบพรบ!DI54"")"),0)</f>
        <v>0</v>
      </c>
      <c r="M282" s="92">
        <f ca="1">IFERROR(__xludf.DUMMYFUNCTION("IMPORTRANGE(""https://docs.google.com/spreadsheets/d/1MeEWN-I1oV_STSDYn1IFDPWt_1FKiwhDph83XaGc0o0/edit?usp=sharing"",""งบพรบ!DN54"")"),0)</f>
        <v>0</v>
      </c>
      <c r="N282" s="92">
        <f ca="1">IFERROR(__xludf.DUMMYFUNCTION("IMPORTRANGE(""https://docs.google.com/spreadsheets/d/1MeEWN-I1oV_STSDYn1IFDPWt_1FKiwhDph83XaGc0o0/edit?usp=sharing"",""งบพรบ!DP54"")"),0)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IFERROR(__xludf.DUMMYFUNCTION("IMPORTRANGE(""https://docs.google.com/spreadsheets/d/1MeEWN-I1oV_STSDYn1IFDPWt_1FKiwhDph83XaGc0o0/edit?usp=sharing"",""งบพรบ!DL54"")"),0)</f>
        <v>0</v>
      </c>
      <c r="M285" s="92">
        <f ca="1">IFERROR(__xludf.DUMMYFUNCTION("IMPORTRANGE(""https://docs.google.com/spreadsheets/d/1MeEWN-I1oV_STSDYn1IFDPWt_1FKiwhDph83XaGc0o0/edit?usp=sharing"",""งบพรบ!DO54"")"),0)</f>
        <v>0</v>
      </c>
      <c r="N285" s="92">
        <f ca="1">IFERROR(__xludf.DUMMYFUNCTION("IMPORTRANGE(""https://docs.google.com/spreadsheets/d/1MeEWN-I1oV_STSDYn1IFDPWt_1FKiwhDph83XaGc0o0/edit?usp=sharing"",""งบพรบ!DQ54"")"),0)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IFERROR(__xludf.DUMMYFUNCTION("IMPORTRANGE(""https://docs.google.com/spreadsheets/d/1QqKyyYR6Q21VydFLVH3TRQUabQu_ym0Zz7PgGX0-kHA/edit?usp=sharing"",""แผน!EC54"")"),0)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IFERROR(__xludf.DUMMYFUNCTION("IMPORTRANGE(""https://docs.google.com/spreadsheets/d/1QqKyyYR6Q21VydFLVH3TRQUabQu_ym0Zz7PgGX0-kHA/edit?usp=sharing"",""แผน!EB54"")"),0)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IFERROR(__xludf.DUMMYFUNCTION("IMPORTRANGE(""https://docs.google.com/spreadsheets/d/1QqKyyYR6Q21VydFLVH3TRQUabQu_ym0Zz7PgGX0-kHA/edit?usp=sharing"",""แผน!EB54"")"),0)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IFERROR(__xludf.DUMMYFUNCTION("IMPORTRANGE(""https://docs.google.com/spreadsheets/d/1QqKyyYR6Q21VydFLVH3TRQUabQu_ym0Zz7PgGX0-kHA/edit?usp=sharing"",""แผน!EB54"")"),0)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IFERROR(__xludf.DUMMYFUNCTION("IMPORTRANGE(""https://docs.google.com/spreadsheets/d/1QqKyyYR6Q21VydFLVH3TRQUabQu_ym0Zz7PgGX0-kHA/edit?usp=sharing"",""แผน!EB54"")"),0)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IFERROR(__xludf.DUMMYFUNCTION("IMPORTRANGE(""https://docs.google.com/spreadsheets/d/1MeEWN-I1oV_STSDYn1IFDPWt_1FKiwhDph83XaGc0o0/edit?usp=sharing"",""งบพรบ!DS54"")"),0)</f>
        <v>0</v>
      </c>
      <c r="M303" s="92">
        <f ca="1">IFERROR(__xludf.DUMMYFUNCTION("IMPORTRANGE(""https://docs.google.com/spreadsheets/d/1MeEWN-I1oV_STSDYn1IFDPWt_1FKiwhDph83XaGc0o0/edit?usp=sharing"",""งบพรบ!DX54"")"),0)</f>
        <v>0</v>
      </c>
      <c r="N303" s="92">
        <f ca="1">IFERROR(__xludf.DUMMYFUNCTION("IMPORTRANGE(""https://docs.google.com/spreadsheets/d/1MeEWN-I1oV_STSDYn1IFDPWt_1FKiwhDph83XaGc0o0/edit?usp=sharing"",""งบพรบ!DZ54"")"),0)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IFERROR(__xludf.DUMMYFUNCTION("IMPORTRANGE(""https://docs.google.com/spreadsheets/d/1MeEWN-I1oV_STSDYn1IFDPWt_1FKiwhDph83XaGc0o0/edit?usp=sharing"",""งบพรบ!DV54"")"),0)</f>
        <v>0</v>
      </c>
      <c r="M306" s="92">
        <f ca="1">IFERROR(__xludf.DUMMYFUNCTION("IMPORTRANGE(""https://docs.google.com/spreadsheets/d/1MeEWN-I1oV_STSDYn1IFDPWt_1FKiwhDph83XaGc0o0/edit?usp=sharing"",""งบพรบ!DY54"")"),0)</f>
        <v>0</v>
      </c>
      <c r="N306" s="92">
        <f ca="1">IFERROR(__xludf.DUMMYFUNCTION("IMPORTRANGE(""https://docs.google.com/spreadsheets/d/1MeEWN-I1oV_STSDYn1IFDPWt_1FKiwhDph83XaGc0o0/edit?usp=sharing"",""งบพรบ!EA54"")"),0)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IFERROR(__xludf.DUMMYFUNCTION("IMPORTRANGE(""https://docs.google.com/spreadsheets/d/1QqKyyYR6Q21VydFLVH3TRQUabQu_ym0Zz7PgGX0-kHA/edit?usp=sharing"",""แผน!ED54"")"),0)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IFERROR(__xludf.DUMMYFUNCTION("IMPORTRANGE(""https://docs.google.com/spreadsheets/d/1QqKyyYR6Q21VydFLVH3TRQUabQu_ym0Zz7PgGX0-kHA/edit?usp=sharing"",""แผน!ED54"")"),0)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IFERROR(__xludf.DUMMYFUNCTION("IMPORTRANGE(""https://docs.google.com/spreadsheets/d/1QqKyyYR6Q21VydFLVH3TRQUabQu_ym0Zz7PgGX0-kHA/edit?usp=sharing"",""แผน!ED54"")"),0)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IFERROR(__xludf.DUMMYFUNCTION("IMPORTRANGE(""https://docs.google.com/spreadsheets/d/1QqKyyYR6Q21VydFLVH3TRQUabQu_ym0Zz7PgGX0-kHA/edit?usp=sharing"",""แผน!EE54"")"),0)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IFERROR(__xludf.DUMMYFUNCTION("IMPORTRANGE(""https://docs.google.com/spreadsheets/d/1MeEWN-I1oV_STSDYn1IFDPWt_1FKiwhDph83XaGc0o0/edit?usp=sharing"",""งบพรบ!EC54"")"),0)</f>
        <v>0</v>
      </c>
      <c r="M320" s="92">
        <f ca="1">IFERROR(__xludf.DUMMYFUNCTION("IMPORTRANGE(""https://docs.google.com/spreadsheets/d/1MeEWN-I1oV_STSDYn1IFDPWt_1FKiwhDph83XaGc0o0/edit?usp=sharing"",""งบพรบ!EH54"")"),0)</f>
        <v>0</v>
      </c>
      <c r="N320" s="92">
        <f ca="1">IFERROR(__xludf.DUMMYFUNCTION("IMPORTRANGE(""https://docs.google.com/spreadsheets/d/1MeEWN-I1oV_STSDYn1IFDPWt_1FKiwhDph83XaGc0o0/edit?usp=sharing"",""งบพรบ!EJ54"")"),0)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IFERROR(__xludf.DUMMYFUNCTION("IMPORTRANGE(""https://docs.google.com/spreadsheets/d/1MeEWN-I1oV_STSDYn1IFDPWt_1FKiwhDph83XaGc0o0/edit?usp=sharing"",""งบพรบ!EF54"")"),0)</f>
        <v>0</v>
      </c>
      <c r="M323" s="92">
        <f ca="1">IFERROR(__xludf.DUMMYFUNCTION("IMPORTRANGE(""https://docs.google.com/spreadsheets/d/1MeEWN-I1oV_STSDYn1IFDPWt_1FKiwhDph83XaGc0o0/edit?usp=sharing"",""งบพรบ!EI54"")"),0)</f>
        <v>0</v>
      </c>
      <c r="N323" s="92">
        <f ca="1">IFERROR(__xludf.DUMMYFUNCTION("IMPORTRANGE(""https://docs.google.com/spreadsheets/d/1MeEWN-I1oV_STSDYn1IFDPWt_1FKiwhDph83XaGc0o0/edit?usp=sharing"",""งบพรบ!EK54"")"),0)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IFERROR(__xludf.DUMMYFUNCTION("IMPORTRANGE(""https://docs.google.com/spreadsheets/d/1QqKyyYR6Q21VydFLVH3TRQUabQu_ym0Zz7PgGX0-kHA/edit?usp=sharing"",""แผน!EF54"")"),0)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IFERROR(__xludf.DUMMYFUNCTION("IMPORTRANGE(""https://docs.google.com/spreadsheets/d/1QqKyyYR6Q21VydFLVH3TRQUabQu_ym0Zz7PgGX0-kHA/edit?usp=sharing"",""แผน!EG54"")"),1600)</f>
        <v>1600</v>
      </c>
      <c r="J327" s="443">
        <f ca="1">J338+J341+J342+J343</f>
        <v>3138</v>
      </c>
      <c r="K327" s="444">
        <f ca="1">IF(I327&gt;0,J327*100/I327,0)</f>
        <v>196.125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170000</v>
      </c>
      <c r="M328" s="154">
        <f ca="1">M329+M330</f>
        <v>172500</v>
      </c>
      <c r="N328" s="154">
        <f ca="1">N329+N330</f>
        <v>172500</v>
      </c>
      <c r="O328" s="154">
        <f t="shared" ref="O328:O336" ca="1" si="56">IF(L328&gt;0,N328*100/L328,0)</f>
        <v>101.47058823529412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170000</v>
      </c>
      <c r="M330" s="92">
        <f t="shared" ca="1" si="58"/>
        <v>172500</v>
      </c>
      <c r="N330" s="92">
        <f t="shared" ca="1" si="58"/>
        <v>172500</v>
      </c>
      <c r="O330" s="92">
        <f t="shared" ca="1" si="56"/>
        <v>101.47058823529412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170000</v>
      </c>
      <c r="M331" s="497">
        <f ca="1">M332+M333</f>
        <v>172500</v>
      </c>
      <c r="N331" s="497">
        <f ca="1">N332+N333</f>
        <v>172500</v>
      </c>
      <c r="O331" s="497">
        <f t="shared" ca="1" si="56"/>
        <v>101.47058823529412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IFERROR(__xludf.DUMMYFUNCTION("IMPORTRANGE(""https://docs.google.com/spreadsheets/d/1MeEWN-I1oV_STSDYn1IFDPWt_1FKiwhDph83XaGc0o0/edit?usp=sharing"",""งบพรบ!EM54"")"),170000)</f>
        <v>170000</v>
      </c>
      <c r="M333" s="92">
        <f ca="1">IFERROR(__xludf.DUMMYFUNCTION("IMPORTRANGE(""https://docs.google.com/spreadsheets/d/1MeEWN-I1oV_STSDYn1IFDPWt_1FKiwhDph83XaGc0o0/edit?usp=sharing"",""งบพรบ!ER54"")"),172500)</f>
        <v>172500</v>
      </c>
      <c r="N333" s="92">
        <f ca="1">IFERROR(__xludf.DUMMYFUNCTION("IMPORTRANGE(""https://docs.google.com/spreadsheets/d/1MeEWN-I1oV_STSDYn1IFDPWt_1FKiwhDph83XaGc0o0/edit?usp=sharing"",""งบพรบ!ET54"")"),172500)</f>
        <v>172500</v>
      </c>
      <c r="O333" s="92">
        <f t="shared" ca="1" si="56"/>
        <v>101.47058823529412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IFERROR(__xludf.DUMMYFUNCTION("IMPORTRANGE(""https://docs.google.com/spreadsheets/d/1MeEWN-I1oV_STSDYn1IFDPWt_1FKiwhDph83XaGc0o0/edit?usp=sharing"",""งบพรบ!EP54"")"),0)</f>
        <v>0</v>
      </c>
      <c r="M336" s="92">
        <f ca="1">IFERROR(__xludf.DUMMYFUNCTION("IMPORTRANGE(""https://docs.google.com/spreadsheets/d/1MeEWN-I1oV_STSDYn1IFDPWt_1FKiwhDph83XaGc0o0/edit?usp=sharing"",""งบพรบ!ES54"")"),0)</f>
        <v>0</v>
      </c>
      <c r="N336" s="92">
        <f ca="1">IFERROR(__xludf.DUMMYFUNCTION("IMPORTRANGE(""https://docs.google.com/spreadsheets/d/1MeEWN-I1oV_STSDYn1IFDPWt_1FKiwhDph83XaGc0o0/edit?usp=sharing"",""งบพรบ!EU54"")"),0)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IFERROR(__xludf.DUMMYFUNCTION("IMPORTRANGE(""https://docs.google.com/spreadsheets/d/1QqKyyYR6Q21VydFLVH3TRQUabQu_ym0Zz7PgGX0-kHA/edit?usp=sharing"",""แผน!EG54"")"),1600)</f>
        <v>1600</v>
      </c>
      <c r="J338" s="269">
        <f ca="1">IFERROR(__xludf.DUMMYFUNCTION("IMPORTRANGE(""https://docs.google.com/spreadsheets/d/1kVcqe37tkHyjCSG3S0O1AXqVkqjo8mSIZil3BcpIysc/edit?usp=sharing"",""ศูนย์!D54"")"),2549)</f>
        <v>2549</v>
      </c>
      <c r="K338" s="497">
        <f ca="1">IF(I338&gt;0,J338*100/I338,0)</f>
        <v>159.3125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IFERROR(__xludf.DUMMYFUNCTION("IMPORTRANGE(""https://docs.google.com/spreadsheets/d/1QqKyyYR6Q21VydFLVH3TRQUabQu_ym0Zz7PgGX0-kHA/edit?usp=sharing"",""แผน!EH54"")"),6)</f>
        <v>6</v>
      </c>
      <c r="J340" s="269">
        <f ca="1">IFERROR(__xludf.DUMMYFUNCTION("IMPORTRANGE(""https://docs.google.com/spreadsheets/d/1kVcqe37tkHyjCSG3S0O1AXqVkqjo8mSIZil3BcpIysc/edit?usp=sharing"",""ศูนย์!E54"")"),6)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IFERROR(__xludf.DUMMYFUNCTION("IMPORTRANGE(""https://docs.google.com/spreadsheets/d/1kVcqe37tkHyjCSG3S0O1AXqVkqjo8mSIZil3BcpIysc/edit?usp=sharing"",""ศูนย์!F54"")"),121)</f>
        <v>121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IFERROR(__xludf.DUMMYFUNCTION("IMPORTRANGE(""https://docs.google.com/spreadsheets/d/1kVcqe37tkHyjCSG3S0O1AXqVkqjo8mSIZil3BcpIysc/edit?usp=sharing"",""ศูนย์!G54"")"),448)</f>
        <v>448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IFERROR(__xludf.DUMMYFUNCTION("IMPORTRANGE(""https://docs.google.com/spreadsheets/d/1kVcqe37tkHyjCSG3S0O1AXqVkqjo8mSIZil3BcpIysc/edit?usp=sharing"",""ศูนย์!H54"")"),20)</f>
        <v>20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979550</v>
      </c>
      <c r="M345" s="154">
        <f ca="1">M346+M347</f>
        <v>987550</v>
      </c>
      <c r="N345" s="154">
        <f ca="1">N346+N347</f>
        <v>987550</v>
      </c>
      <c r="O345" s="154">
        <f t="shared" ref="O345:O353" ca="1" si="59">IF(L345&gt;0,N345*100/L345,0)</f>
        <v>100.81670154662855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979550</v>
      </c>
      <c r="M347" s="92">
        <f t="shared" ca="1" si="61"/>
        <v>987550</v>
      </c>
      <c r="N347" s="92">
        <f t="shared" ca="1" si="61"/>
        <v>987550</v>
      </c>
      <c r="O347" s="92">
        <f t="shared" ca="1" si="59"/>
        <v>100.81670154662855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815350</v>
      </c>
      <c r="M348" s="497">
        <f ca="1">M349+M350</f>
        <v>823350</v>
      </c>
      <c r="N348" s="497">
        <f ca="1">N349+N350</f>
        <v>823350</v>
      </c>
      <c r="O348" s="497">
        <f t="shared" ca="1" si="59"/>
        <v>100.9811737290734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IFERROR(__xludf.DUMMYFUNCTION("IMPORTRANGE(""https://docs.google.com/spreadsheets/d/1MeEWN-I1oV_STSDYn1IFDPWt_1FKiwhDph83XaGc0o0/edit?usp=sharing"",""งบพรบ!EW54"")"),815350)</f>
        <v>815350</v>
      </c>
      <c r="M350" s="92">
        <f ca="1">IFERROR(__xludf.DUMMYFUNCTION("IMPORTRANGE(""https://docs.google.com/spreadsheets/d/1MeEWN-I1oV_STSDYn1IFDPWt_1FKiwhDph83XaGc0o0/edit?usp=sharing"",""งบพรบ!FB54"")"),823350)</f>
        <v>823350</v>
      </c>
      <c r="N350" s="92">
        <f ca="1">IFERROR(__xludf.DUMMYFUNCTION("IMPORTRANGE(""https://docs.google.com/spreadsheets/d/1MeEWN-I1oV_STSDYn1IFDPWt_1FKiwhDph83XaGc0o0/edit?usp=sharing"",""งบพรบ!FD54"")"),823350)</f>
        <v>823350</v>
      </c>
      <c r="O350" s="92">
        <f t="shared" ca="1" si="59"/>
        <v>100.9811737290734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164200</v>
      </c>
      <c r="M351" s="497">
        <f ca="1">M352+M353</f>
        <v>164200</v>
      </c>
      <c r="N351" s="497">
        <f ca="1">N352+N353</f>
        <v>164200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IFERROR(__xludf.DUMMYFUNCTION("IMPORTRANGE(""https://docs.google.com/spreadsheets/d/1MeEWN-I1oV_STSDYn1IFDPWt_1FKiwhDph83XaGc0o0/edit?usp=sharing"",""งบพรบ!EZ54"")"),164200)</f>
        <v>164200</v>
      </c>
      <c r="M353" s="92">
        <f ca="1">IFERROR(__xludf.DUMMYFUNCTION("IMPORTRANGE(""https://docs.google.com/spreadsheets/d/1MeEWN-I1oV_STSDYn1IFDPWt_1FKiwhDph83XaGc0o0/edit?usp=sharing"",""งบพรบ!FC54"")"),164200)</f>
        <v>164200</v>
      </c>
      <c r="N353" s="92">
        <f ca="1">IFERROR(__xludf.DUMMYFUNCTION("IMPORTRANGE(""https://docs.google.com/spreadsheets/d/1MeEWN-I1oV_STSDYn1IFDPWt_1FKiwhDph83XaGc0o0/edit?usp=sharing"",""งบพรบ!FE54"")"),164200)</f>
        <v>164200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175</v>
      </c>
      <c r="K355" s="465">
        <f ca="1">IF(I355&gt;0,J355*100/I355,0)</f>
        <v>68.627450980392155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IFERROR(__xludf.DUMMYFUNCTION("IMPORTRANGE(""https://docs.google.com/spreadsheets/d/1XWAQStnk-4SwqDmLtmXYiTMKHgktTP8We1SCoS47DrQ/edit?usp=sharing"",""จัดที่ดิน!W54"")"),327)</f>
        <v>327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IFERROR(__xludf.DUMMYFUNCTION("IMPORTRANGE(""https://docs.google.com/spreadsheets/d/1QqKyyYR6Q21VydFLVH3TRQUabQu_ym0Zz7PgGX0-kHA/edit?usp=sharing"",""แผน!EO54"")"),3700)</f>
        <v>3700</v>
      </c>
      <c r="J359" s="269">
        <f ca="1">IFERROR(__xludf.DUMMYFUNCTION("IMPORTRANGE(""https://docs.google.com/spreadsheets/d/1XWAQStnk-4SwqDmLtmXYiTMKHgktTP8We1SCoS47DrQ/edit?usp=sharing"",""จัดที่ดิน!X54"")"),2892.88)</f>
        <v>2892.88</v>
      </c>
      <c r="K359" s="497">
        <f t="shared" ca="1" si="62"/>
        <v>78.185945945945946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IFERROR(__xludf.DUMMYFUNCTION("IMPORTRANGE(""https://docs.google.com/spreadsheets/d/1QqKyyYR6Q21VydFLVH3TRQUabQu_ym0Zz7PgGX0-kHA/edit?usp=sharing"",""แผน!EP54"")"),255)</f>
        <v>255</v>
      </c>
      <c r="J360" s="269">
        <f ca="1">IFERROR(__xludf.DUMMYFUNCTION("IMPORTRANGE(""https://docs.google.com/spreadsheets/d/1XWAQStnk-4SwqDmLtmXYiTMKHgktTP8We1SCoS47DrQ/edit?usp=sharing"",""จัดที่ดิน!Y54"")"),178)</f>
        <v>178</v>
      </c>
      <c r="K360" s="497">
        <f t="shared" ca="1" si="62"/>
        <v>69.803921568627445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IFERROR(__xludf.DUMMYFUNCTION("IMPORTRANGE(""https://docs.google.com/spreadsheets/d/1XWAQStnk-4SwqDmLtmXYiTMKHgktTP8We1SCoS47DrQ/edit?usp=sharing"",""จัดที่ดิน!Z54"")"),1544)</f>
        <v>1544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IFERROR(__xludf.DUMMYFUNCTION("IMPORTRANGE(""https://docs.google.com/spreadsheets/d/1QqKyyYR6Q21VydFLVH3TRQUabQu_ym0Zz7PgGX0-kHA/edit?usp=sharing"",""แผน!EP54"")"),255)</f>
        <v>255</v>
      </c>
      <c r="J362" s="269">
        <f ca="1">IFERROR(__xludf.DUMMYFUNCTION("IMPORTRANGE(""https://docs.google.com/spreadsheets/d/1XWAQStnk-4SwqDmLtmXYiTMKHgktTP8We1SCoS47DrQ/edit?usp=sharing"",""จัดที่ดิน!AA54"")"),175)</f>
        <v>175</v>
      </c>
      <c r="K362" s="497">
        <f t="shared" ca="1" si="62"/>
        <v>68.627450980392155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IFERROR(__xludf.DUMMYFUNCTION("IMPORTRANGE(""https://docs.google.com/spreadsheets/d/1XWAQStnk-4SwqDmLtmXYiTMKHgktTP8We1SCoS47DrQ/edit?usp=sharing"",""จัดที่ดิน!AB54"")"),1453.88999999999)</f>
        <v>1453.8899999999901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355</v>
      </c>
      <c r="J364" s="478">
        <f ca="1">J365+J374</f>
        <v>357</v>
      </c>
      <c r="K364" s="479">
        <f t="shared" ca="1" si="62"/>
        <v>100.56338028169014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74</v>
      </c>
      <c r="K365" s="491">
        <f t="shared" ca="1" si="62"/>
        <v>36.097560975609753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IFERROR(__xludf.DUMMYFUNCTION("IMPORTRANGE(""https://docs.google.com/spreadsheets/d/1XWAQStnk-4SwqDmLtmXYiTMKHgktTP8We1SCoS47DrQ/edit?usp=sharing"",""จัดที่ดิน!E54"")"),105)</f>
        <v>105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IFERROR(__xludf.DUMMYFUNCTION("IMPORTRANGE(""https://docs.google.com/spreadsheets/d/1QqKyyYR6Q21VydFLVH3TRQUabQu_ym0Zz7PgGX0-kHA/edit?usp=sharing"",""แผน!EI54"")"),2700)</f>
        <v>2700</v>
      </c>
      <c r="J369" s="269">
        <f ca="1">IFERROR(__xludf.DUMMYFUNCTION("IMPORTRANGE(""https://docs.google.com/spreadsheets/d/1XWAQStnk-4SwqDmLtmXYiTMKHgktTP8We1SCoS47DrQ/edit?usp=sharing"",""จัดที่ดิน!F54"")"),1121.2)</f>
        <v>1121.2</v>
      </c>
      <c r="K369" s="497">
        <f t="shared" ca="1" si="63"/>
        <v>41.525925925925925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IFERROR(__xludf.DUMMYFUNCTION("IMPORTRANGE(""https://docs.google.com/spreadsheets/d/1QqKyyYR6Q21VydFLVH3TRQUabQu_ym0Zz7PgGX0-kHA/edit?usp=sharing"",""แผน!EJ54"")"),205)</f>
        <v>205</v>
      </c>
      <c r="J370" s="269">
        <f ca="1">IFERROR(__xludf.DUMMYFUNCTION("IMPORTRANGE(""https://docs.google.com/spreadsheets/d/1XWAQStnk-4SwqDmLtmXYiTMKHgktTP8We1SCoS47DrQ/edit?usp=sharing"",""จัดที่ดิน!G54"")"),77)</f>
        <v>77</v>
      </c>
      <c r="K370" s="497">
        <f t="shared" ca="1" si="63"/>
        <v>37.560975609756099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IFERROR(__xludf.DUMMYFUNCTION("IMPORTRANGE(""https://docs.google.com/spreadsheets/d/1XWAQStnk-4SwqDmLtmXYiTMKHgktTP8We1SCoS47DrQ/edit?usp=sharing"",""จัดที่ดิน!H54"")"),781.85)</f>
        <v>781.85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IFERROR(__xludf.DUMMYFUNCTION("IMPORTRANGE(""https://docs.google.com/spreadsheets/d/1QqKyyYR6Q21VydFLVH3TRQUabQu_ym0Zz7PgGX0-kHA/edit?usp=sharing"",""แผน!EJ54"")"),205)</f>
        <v>205</v>
      </c>
      <c r="J372" s="269">
        <f ca="1">IFERROR(__xludf.DUMMYFUNCTION("IMPORTRANGE(""https://docs.google.com/spreadsheets/d/1XWAQStnk-4SwqDmLtmXYiTMKHgktTP8We1SCoS47DrQ/edit?usp=sharing"",""จัดที่ดิน!I54"")"),74)</f>
        <v>74</v>
      </c>
      <c r="K372" s="497">
        <f t="shared" ca="1" si="63"/>
        <v>36.097560975609753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IFERROR(__xludf.DUMMYFUNCTION("IMPORTRANGE(""https://docs.google.com/spreadsheets/d/1XWAQStnk-4SwqDmLtmXYiTMKHgktTP8We1SCoS47DrQ/edit?usp=sharing"",""จัดที่ดิน!J54"")"),691.74)</f>
        <v>691.74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283</v>
      </c>
      <c r="K374" s="491">
        <f t="shared" ca="1" si="63"/>
        <v>188.66666666666666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IFERROR(__xludf.DUMMYFUNCTION("IMPORTRANGE(""https://docs.google.com/spreadsheets/d/1XWAQStnk-4SwqDmLtmXYiTMKHgktTP8We1SCoS47DrQ/edit?usp=sharing"",""จัดที่ดิน!AH54"")"),222)</f>
        <v>222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IFERROR(__xludf.DUMMYFUNCTION("IMPORTRANGE(""https://docs.google.com/spreadsheets/d/1QqKyyYR6Q21VydFLVH3TRQUabQu_ym0Zz7PgGX0-kHA/edit?usp=sharing"",""แผน!ET54"")"),1000)</f>
        <v>1000</v>
      </c>
      <c r="J378" s="269">
        <f ca="1">IFERROR(__xludf.DUMMYFUNCTION("IMPORTRANGE(""https://docs.google.com/spreadsheets/d/1XWAQStnk-4SwqDmLtmXYiTMKHgktTP8We1SCoS47DrQ/edit?usp=sharing"",""จัดที่ดิน!AI54"")"),1771.68)</f>
        <v>1771.68</v>
      </c>
      <c r="K378" s="497">
        <f t="shared" ca="1" si="64"/>
        <v>177.16800000000001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IFERROR(__xludf.DUMMYFUNCTION("IMPORTRANGE(""https://docs.google.com/spreadsheets/d/1QqKyyYR6Q21VydFLVH3TRQUabQu_ym0Zz7PgGX0-kHA/edit?usp=sharing"",""แผน!EU54"")"),150)</f>
        <v>150</v>
      </c>
      <c r="J379" s="269">
        <f ca="1">IFERROR(__xludf.DUMMYFUNCTION("IMPORTRANGE(""https://docs.google.com/spreadsheets/d/1XWAQStnk-4SwqDmLtmXYiTMKHgktTP8We1SCoS47DrQ/edit?usp=sharing"",""จัดที่ดิน!AJ54"")"),283)</f>
        <v>283</v>
      </c>
      <c r="K379" s="497">
        <f t="shared" ca="1" si="64"/>
        <v>188.66666666666666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IFERROR(__xludf.DUMMYFUNCTION("IMPORTRANGE(""https://docs.google.com/spreadsheets/d/1XWAQStnk-4SwqDmLtmXYiTMKHgktTP8We1SCoS47DrQ/edit?usp=sharing"",""จัดที่ดิน!AK54"")"),3376.35)</f>
        <v>3376.35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IFERROR(__xludf.DUMMYFUNCTION("IMPORTRANGE(""https://docs.google.com/spreadsheets/d/1QqKyyYR6Q21VydFLVH3TRQUabQu_ym0Zz7PgGX0-kHA/edit?usp=sharing"",""แผน!EU54"")"),150)</f>
        <v>150</v>
      </c>
      <c r="J381" s="269">
        <f ca="1">IFERROR(__xludf.DUMMYFUNCTION("IMPORTRANGE(""https://docs.google.com/spreadsheets/d/1XWAQStnk-4SwqDmLtmXYiTMKHgktTP8We1SCoS47DrQ/edit?usp=sharing"",""จัดที่ดิน!AL54"")"),283)</f>
        <v>283</v>
      </c>
      <c r="K381" s="497">
        <f t="shared" ca="1" si="64"/>
        <v>188.66666666666666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IFERROR(__xludf.DUMMYFUNCTION("IMPORTRANGE(""https://docs.google.com/spreadsheets/d/1XWAQStnk-4SwqDmLtmXYiTMKHgktTP8We1SCoS47DrQ/edit?usp=sharing"",""จัดที่ดิน!AM54"")"),3376.35)</f>
        <v>3376.35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IFERROR(__xludf.DUMMYFUNCTION("IMPORTRANGE(""https://docs.google.com/spreadsheets/d/1MeEWN-I1oV_STSDYn1IFDPWt_1FKiwhDph83XaGc0o0/edit?usp=sharing"",""งบพรบ!FG54"")"),0)</f>
        <v>0</v>
      </c>
      <c r="M394" s="92">
        <f ca="1">IFERROR(__xludf.DUMMYFUNCTION("IMPORTRANGE(""https://docs.google.com/spreadsheets/d/1MeEWN-I1oV_STSDYn1IFDPWt_1FKiwhDph83XaGc0o0/edit?usp=sharing"",""งบพรบ!FL54"")"),0)</f>
        <v>0</v>
      </c>
      <c r="N394" s="92">
        <f ca="1">IFERROR(__xludf.DUMMYFUNCTION("IMPORTRANGE(""https://docs.google.com/spreadsheets/d/1MeEWN-I1oV_STSDYn1IFDPWt_1FKiwhDph83XaGc0o0/edit?usp=sharing"",""งบพรบ!FN54"")"),0)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IFERROR(__xludf.DUMMYFUNCTION("IMPORTRANGE(""https://docs.google.com/spreadsheets/d/1MeEWN-I1oV_STSDYn1IFDPWt_1FKiwhDph83XaGc0o0/edit?usp=sharing"",""งบพรบ!FJ54"")"),0)</f>
        <v>0</v>
      </c>
      <c r="M397" s="92">
        <f ca="1">IFERROR(__xludf.DUMMYFUNCTION("IMPORTRANGE(""https://docs.google.com/spreadsheets/d/1MeEWN-I1oV_STSDYn1IFDPWt_1FKiwhDph83XaGc0o0/edit?usp=sharing"",""งบพรบ!FM54"")"),0)</f>
        <v>0</v>
      </c>
      <c r="N397" s="92">
        <f ca="1">IFERROR(__xludf.DUMMYFUNCTION("IMPORTRANGE(""https://docs.google.com/spreadsheets/d/1MeEWN-I1oV_STSDYn1IFDPWt_1FKiwhDph83XaGc0o0/edit?usp=sharing"",""งบพรบ!FO54"")"),0)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IFERROR(__xludf.DUMMYFUNCTION("IMPORTRANGE(""https://docs.google.com/spreadsheets/d/1MeEWN-I1oV_STSDYn1IFDPWt_1FKiwhDph83XaGc0o0/edit?usp=sharing"",""งบพรบ!FQ54"")"),0)</f>
        <v>0</v>
      </c>
      <c r="M407" s="92">
        <f ca="1">IFERROR(__xludf.DUMMYFUNCTION("IMPORTRANGE(""https://docs.google.com/spreadsheets/d/1MeEWN-I1oV_STSDYn1IFDPWt_1FKiwhDph83XaGc0o0/edit?usp=sharing"",""งบพรบ!FV54"")"),0)</f>
        <v>0</v>
      </c>
      <c r="N407" s="92">
        <f ca="1">IFERROR(__xludf.DUMMYFUNCTION("IMPORTRANGE(""https://docs.google.com/spreadsheets/d/1MeEWN-I1oV_STSDYn1IFDPWt_1FKiwhDph83XaGc0o0/edit?usp=sharing"",""งบพรบ!FX54"")"),0)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IFERROR(__xludf.DUMMYFUNCTION("IMPORTRANGE(""https://docs.google.com/spreadsheets/d/1MeEWN-I1oV_STSDYn1IFDPWt_1FKiwhDph83XaGc0o0/edit?usp=sharing"",""งบพรบ!FT54"")"),0)</f>
        <v>0</v>
      </c>
      <c r="M410" s="92">
        <f ca="1">IFERROR(__xludf.DUMMYFUNCTION("IMPORTRANGE(""https://docs.google.com/spreadsheets/d/1MeEWN-I1oV_STSDYn1IFDPWt_1FKiwhDph83XaGc0o0/edit?usp=sharing"",""งบพรบ!FW54"")"),0)</f>
        <v>0</v>
      </c>
      <c r="N410" s="92">
        <f ca="1">IFERROR(__xludf.DUMMYFUNCTION("IMPORTRANGE(""https://docs.google.com/spreadsheets/d/1MeEWN-I1oV_STSDYn1IFDPWt_1FKiwhDph83XaGc0o0/edit?usp=sharing"",""งบพรบ!FY54"")"),0)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803703</v>
      </c>
      <c r="M414" s="549">
        <f ca="1">M419+M444+M467+M502+M523+M544+M629+M655+M685+M737+M754+M770+M786+M805</f>
        <v>768308.41999999993</v>
      </c>
      <c r="N414" s="549">
        <f>N419+N444+N467+N502+N523+N544+N629+N655+N685+N737+N754+N770+N786+N805</f>
        <v>768308.41999999993</v>
      </c>
      <c r="O414" s="549">
        <f ca="1">IF(L414&gt;0,N414*100/L414,0)</f>
        <v>95.596062226966922</v>
      </c>
      <c r="P414" s="549">
        <f ca="1">IF(M414&gt;0,N414*100/M414,0)</f>
        <v>100.00000000000001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83660</v>
      </c>
      <c r="N419" s="154">
        <f>N420+N421</f>
        <v>83660</v>
      </c>
      <c r="O419" s="154">
        <f t="shared" ref="O419:O424" ca="1" si="71">IF(L419&gt;0,N419*100/L419,0)</f>
        <v>106.35647088736333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83660</v>
      </c>
      <c r="N421" s="92">
        <f t="shared" si="73"/>
        <v>83660</v>
      </c>
      <c r="O421" s="92">
        <f t="shared" ca="1" si="71"/>
        <v>106.35647088736333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83660</v>
      </c>
      <c r="N422" s="497">
        <f>N423+N424</f>
        <v>83660</v>
      </c>
      <c r="O422" s="497">
        <f t="shared" ca="1" si="71"/>
        <v>106.35647088736333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IFERROR(__xludf.DUMMYFUNCTION("IMPORTRANGE(""https://docs.google.com/spreadsheets/d/1QqKyyYR6Q21VydFLVH3TRQUabQu_ym0Zz7PgGX0-kHA/edit?usp=sharing"",""แผน!EY54"")"),78660)</f>
        <v>78660</v>
      </c>
      <c r="M424" s="92">
        <f ca="1">L424+5000</f>
        <v>83660</v>
      </c>
      <c r="N424" s="92">
        <f>N425+N426+N427+N428</f>
        <v>83660</v>
      </c>
      <c r="O424" s="92">
        <f t="shared" ca="1" si="71"/>
        <v>106.35647088736333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56650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26840+170</f>
        <v>27010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IFERROR(__xludf.DUMMYFUNCTION("IMPORTRANGE(""https://docs.google.com/spreadsheets/d/1QqKyyYR6Q21VydFLVH3TRQUabQu_ym0Zz7PgGX0-kHA/edit?usp=sharing"",""แผน!FB54"")"),0)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IFERROR(__xludf.DUMMYFUNCTION("IMPORTRANGE(""https://docs.google.com/spreadsheets/d/1QqKyyYR6Q21VydFLVH3TRQUabQu_ym0Zz7PgGX0-kHA/edit?usp=sharing"",""แผน!FE54"")"),0)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IFERROR(__xludf.DUMMYFUNCTION("IMPORTRANGE(""https://docs.google.com/spreadsheets/d/1QqKyyYR6Q21VydFLVH3TRQUabQu_ym0Zz7PgGX0-kHA/edit?usp=sharing"",""แผน!FG54"")"),1)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IFERROR(__xludf.DUMMYFUNCTION("IMPORTRANGE(""https://docs.google.com/spreadsheets/d/1QqKyyYR6Q21VydFLVH3TRQUabQu_ym0Zz7PgGX0-kHA/edit?usp=sharing"",""แผน!FH54"")"),0)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IFERROR(__xludf.DUMMYFUNCTION("IMPORTRANGE(""https://docs.google.com/spreadsheets/d/1QqKyyYR6Q21VydFLVH3TRQUabQu_ym0Zz7PgGX0-kHA/edit?usp=sharing"",""แผน!FJ54"")"),0)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IFERROR(__xludf.DUMMYFUNCTION("IMPORTRANGE(""https://docs.google.com/spreadsheets/d/1QqKyyYR6Q21VydFLVH3TRQUabQu_ym0Zz7PgGX0-kHA/edit?usp=sharing"",""แผน!FM54"")"),0)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IFERROR(__xludf.DUMMYFUNCTION("IMPORTRANGE(""https://docs.google.com/spreadsheets/d/1QqKyyYR6Q21VydFLVH3TRQUabQu_ym0Zz7PgGX0-kHA/edit?usp=sharing"",""แผน!FN54"")"),0)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IFERROR(__xludf.DUMMYFUNCTION("IMPORTRANGE(""https://docs.google.com/spreadsheets/d/1QqKyyYR6Q21VydFLVH3TRQUabQu_ym0Zz7PgGX0-kHA/edit?usp=sharing"",""แผน!FO54"")"),0)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IFERROR(__xludf.DUMMYFUNCTION("IMPORTRANGE(""https://docs.google.com/spreadsheets/d/1QqKyyYR6Q21VydFLVH3TRQUabQu_ym0Zz7PgGX0-kHA/edit?usp=sharing"",""แผน!FO54"")"),0)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IFERROR(__xludf.DUMMYFUNCTION("IMPORTRANGE(""https://docs.google.com/spreadsheets/d/1QqKyyYR6Q21VydFLVH3TRQUabQu_ym0Zz7PgGX0-kHA/edit?usp=sharing"",""แผน!FN54"")"),0)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ca="1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500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403983</v>
      </c>
      <c r="M467" s="194">
        <f ca="1">M468+M469</f>
        <v>410113</v>
      </c>
      <c r="N467" s="194">
        <f>N468+N469</f>
        <v>410113</v>
      </c>
      <c r="O467" s="194">
        <f t="shared" ref="O467:O472" ca="1" si="78">IF(L467&gt;0,N467*100/L467,0)</f>
        <v>101.51739058326712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403983</v>
      </c>
      <c r="M469" s="92">
        <f t="shared" ca="1" si="80"/>
        <v>410113</v>
      </c>
      <c r="N469" s="92">
        <f t="shared" si="80"/>
        <v>410113</v>
      </c>
      <c r="O469" s="92">
        <f t="shared" ca="1" si="78"/>
        <v>101.51739058326712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403983</v>
      </c>
      <c r="M470" s="497">
        <f ca="1">M471+M472</f>
        <v>410113</v>
      </c>
      <c r="N470" s="497">
        <f>N471+N472</f>
        <v>410113</v>
      </c>
      <c r="O470" s="497">
        <f t="shared" ca="1" si="78"/>
        <v>101.51739058326712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IFERROR(__xludf.DUMMYFUNCTION("IMPORTRANGE(""https://docs.google.com/spreadsheets/d/1QqKyyYR6Q21VydFLVH3TRQUabQu_ym0Zz7PgGX0-kHA/edit?usp=sharing"",""แผน!FS54"")"),403983)</f>
        <v>403983</v>
      </c>
      <c r="M472" s="92">
        <f ca="1">L472+6130</f>
        <v>410113</v>
      </c>
      <c r="N472" s="92">
        <f>N473+N474+N475+N476</f>
        <v>410113</v>
      </c>
      <c r="O472" s="92">
        <f t="shared" ca="1" si="78"/>
        <v>101.51739058326712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66583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314000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29530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IFERROR(__xludf.DUMMYFUNCTION("IMPORTRANGE(""https://docs.google.com/spreadsheets/d/1QqKyyYR6Q21VydFLVH3TRQUabQu_ym0Zz7PgGX0-kHA/edit?usp=sharing"",""แผน!FV54"")"),0)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IFERROR(__xludf.DUMMYFUNCTION("IMPORTRANGE(""https://docs.google.com/spreadsheets/d/1QqKyyYR6Q21VydFLVH3TRQUabQu_ym0Zz7PgGX0-kHA/edit?usp=sharing"",""แผน!FY54"")"),450)</f>
        <v>450</v>
      </c>
      <c r="J483" s="214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IFERROR(__xludf.DUMMYFUNCTION("IMPORTRANGE(""https://docs.google.com/spreadsheets/d/1QqKyyYR6Q21VydFLVH3TRQUabQu_ym0Zz7PgGX0-kHA/edit?usp=sharing"",""แผน!FZ54"")"),45)</f>
        <v>45</v>
      </c>
      <c r="J485" s="214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IFERROR(__xludf.DUMMYFUNCTION("IMPORTRANGE(""https://docs.google.com/spreadsheets/d/1QqKyyYR6Q21VydFLVH3TRQUabQu_ym0Zz7PgGX0-kHA/edit?usp=sharing"",""แผน!GA54"")"),50)</f>
        <v>50</v>
      </c>
      <c r="J487" s="214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IFERROR(__xludf.DUMMYFUNCTION("IMPORTRANGE(""https://docs.google.com/spreadsheets/d/1QqKyyYR6Q21VydFLVH3TRQUabQu_ym0Zz7PgGX0-kHA/edit?usp=sharing"",""แผน!GB54"")"),5)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IFERROR(__xludf.DUMMYFUNCTION("IMPORTRANGE(""https://docs.google.com/spreadsheets/d/1QqKyyYR6Q21VydFLVH3TRQUabQu_ym0Zz7PgGX0-kHA/edit?usp=sharing"",""แผน!GC54"")"),1)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IFERROR(__xludf.DUMMYFUNCTION("IMPORTRANGE(""https://docs.google.com/spreadsheets/d/1QqKyyYR6Q21VydFLVH3TRQUabQu_ym0Zz7PgGX0-kHA/edit?usp=sharing"",""แผน!FY54"")"),450)</f>
        <v>450</v>
      </c>
      <c r="J495" s="214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IFERROR(__xludf.DUMMYFUNCTION("IMPORTRANGE(""https://docs.google.com/spreadsheets/d/1QqKyyYR6Q21VydFLVH3TRQUabQu_ym0Zz7PgGX0-kHA/edit?usp=sharing"",""แผน!GA54"")"),50)</f>
        <v>50</v>
      </c>
      <c r="J498" s="214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IFERROR(__xludf.DUMMYFUNCTION("IMPORTRANGE(""https://docs.google.com/spreadsheets/d/1QqKyyYR6Q21VydFLVH3TRQUabQu_ym0Zz7PgGX0-kHA/edit?usp=sharing"",""แผน!GQ54"")"),0)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IFERROR(__xludf.DUMMYFUNCTION("IMPORTRANGE(""https://docs.google.com/spreadsheets/d/1QqKyyYR6Q21VydFLVH3TRQUabQu_ym0Zz7PgGX0-kHA/edit?usp=sharing"",""แผน!GT54"")"),0)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IFERROR(__xludf.DUMMYFUNCTION("IMPORTRANGE(""https://docs.google.com/spreadsheets/d/1QqKyyYR6Q21VydFLVH3TRQUabQu_ym0Zz7PgGX0-kHA/edit?usp=sharing"",""แผน!GV54"")"),0)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IFERROR(__xludf.DUMMYFUNCTION("IMPORTRANGE(""https://docs.google.com/spreadsheets/d/1QqKyyYR6Q21VydFLVH3TRQUabQu_ym0Zz7PgGX0-kHA/edit?usp=sharing"",""แผน!GW54"")"),0)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IFERROR(__xludf.DUMMYFUNCTION("IMPORTRANGE(""https://docs.google.com/spreadsheets/d/1QqKyyYR6Q21VydFLVH3TRQUabQu_ym0Zz7PgGX0-kHA/edit?usp=sharing"",""แผน!GX54"")"),0)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IFERROR(__xludf.DUMMYFUNCTION("IMPORTRANGE(""https://docs.google.com/spreadsheets/d/1QqKyyYR6Q21VydFLVH3TRQUabQu_ym0Zz7PgGX0-kHA/edit?usp=sharing"",""แผน!GY54"")"),0)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IFERROR(__xludf.DUMMYFUNCTION("IMPORTRANGE(""https://docs.google.com/spreadsheets/d/1QqKyyYR6Q21VydFLVH3TRQUabQu_ym0Zz7PgGX0-kHA/edit?usp=sharing"",""แผน!GZ54"")"),0)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284300</v>
      </c>
      <c r="M544" s="154">
        <f ca="1">M545+M546</f>
        <v>266701.42</v>
      </c>
      <c r="N544" s="154">
        <f>N545+N546</f>
        <v>266701.42</v>
      </c>
      <c r="O544" s="154">
        <f t="shared" ref="O544:O549" ca="1" si="88">IF(L544&gt;0,N544*100/L544,0)</f>
        <v>93.809855786141398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284300</v>
      </c>
      <c r="M546" s="92">
        <f ca="1">M549+M556</f>
        <v>266701.42</v>
      </c>
      <c r="N546" s="92">
        <f>N549+N556</f>
        <v>266701.42</v>
      </c>
      <c r="O546" s="92">
        <f t="shared" ca="1" si="88"/>
        <v>93.809855786141398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284300</v>
      </c>
      <c r="M547" s="497">
        <f ca="1">M548+M549</f>
        <v>266701.42</v>
      </c>
      <c r="N547" s="497">
        <f>N548+N549</f>
        <v>266701.42</v>
      </c>
      <c r="O547" s="497">
        <f t="shared" ca="1" si="88"/>
        <v>93.809855786141398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IFERROR(__xludf.DUMMYFUNCTION("IMPORTRANGE(""https://docs.google.com/spreadsheets/d/1QqKyyYR6Q21VydFLVH3TRQUabQu_ym0Zz7PgGX0-kHA/edit?usp=sharing"",""แผน!HB54"")"),284300)</f>
        <v>284300</v>
      </c>
      <c r="M549" s="92">
        <f ca="1">L549-17598.58</f>
        <v>266701.42</v>
      </c>
      <c r="N549" s="92">
        <f>N550+N551+N552+N553+N554</f>
        <v>266701.42</v>
      </c>
      <c r="O549" s="92">
        <f t="shared" ca="1" si="88"/>
        <v>93.809855786141398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f>114401.42+11000</f>
        <v>125401.42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141300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IFERROR(__xludf.DUMMYFUNCTION("IMPORTRANGE(""https://docs.google.com/spreadsheets/d/1QqKyyYR6Q21VydFLVH3TRQUabQu_ym0Zz7PgGX0-kHA/edit?usp=sharing"",""แผน!HF54"")"),0)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IFERROR(__xludf.DUMMYFUNCTION("IMPORTRANGE(""https://docs.google.com/spreadsheets/d/1QqKyyYR6Q21VydFLVH3TRQUabQu_ym0Zz7PgGX0-kHA/edit?usp=sharing"",""แผน!HH54"")"),0)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IFERROR(__xludf.DUMMYFUNCTION("IMPORTRANGE(""https://docs.google.com/spreadsheets/d/1QqKyyYR6Q21VydFLVH3TRQUabQu_ym0Zz7PgGX0-kHA/edit?usp=sharing"",""แผน!HG54"")"),0)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IFERROR(__xludf.DUMMYFUNCTION("IMPORTRANGE(""https://docs.google.com/spreadsheets/d/1QqKyyYR6Q21VydFLVH3TRQUabQu_ym0Zz7PgGX0-kHA/edit?usp=sharing"",""แผน!HH54"")"),0)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IFERROR(__xludf.DUMMYFUNCTION("IMPORTRANGE(""https://docs.google.com/spreadsheets/d/1QqKyyYR6Q21VydFLVH3TRQUabQu_ym0Zz7PgGX0-kHA/edit?usp=sharing"",""แผน!HG54"")"),0)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IFERROR(__xludf.DUMMYFUNCTION("IMPORTRANGE(""https://docs.google.com/spreadsheets/d/1QqKyyYR6Q21VydFLVH3TRQUabQu_ym0Zz7PgGX0-kHA/edit?usp=sharing"",""แผน!HH54"")"),0)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IFERROR(__xludf.DUMMYFUNCTION("IMPORTRANGE(""https://docs.google.com/spreadsheets/d/1QqKyyYR6Q21VydFLVH3TRQUabQu_ym0Zz7PgGX0-kHA/edit?usp=sharing"",""แผน!HG54"")"),0)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3092.89</v>
      </c>
      <c r="J592" s="703">
        <f>J593</f>
        <v>3092.89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2">
        <f>J595+J603+J609</f>
        <v>3092.89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IFERROR(__xludf.DUMMYFUNCTION("IMPORTRANGE(""https://docs.google.com/spreadsheets/d/1QqKyyYR6Q21VydFLVH3TRQUabQu_ym0Zz7PgGX0-kHA/edit?usp=sharing"",""แผน!HI54"")"),241)</f>
        <v>241</v>
      </c>
      <c r="J594" s="192">
        <f>J596+J604+J610</f>
        <v>241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2980.9324999999999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231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2685.58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204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295.35250000000002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27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82.93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7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82.93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7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29.0275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3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IFERROR(__xludf.DUMMYFUNCTION("IMPORTRANGE(""https://docs.google.com/spreadsheets/d/1QqKyyYR6Q21VydFLVH3TRQUabQu_ym0Zz7PgGX0-kHA/edit?usp=sharing"",""แผน!HN54"")"),0)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IFERROR(__xludf.DUMMYFUNCTION("IMPORTRANGE(""https://docs.google.com/spreadsheets/d/1QqKyyYR6Q21VydFLVH3TRQUabQu_ym0Zz7PgGX0-kHA/edit?usp=sharing"",""แผน!HQ54"")"),0)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IFERROR(__xludf.DUMMYFUNCTION("IMPORTRANGE(""https://docs.google.com/spreadsheets/d/1QqKyyYR6Q21VydFLVH3TRQUabQu_ym0Zz7PgGX0-kHA/edit?usp=sharing"",""แผน!HR54"")"),0)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IFERROR(__xludf.DUMMYFUNCTION("IMPORTRANGE(""https://docs.google.com/spreadsheets/d/1QqKyyYR6Q21VydFLVH3TRQUabQu_ym0Zz7PgGX0-kHA/edit?usp=sharing"",""แผน!HR54"")"),0)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IFERROR(__xludf.DUMMYFUNCTION("IMPORTRANGE(""https://docs.google.com/spreadsheets/d/1XWAQStnk-4SwqDmLtmXYiTMKHgktTP8We1SCoS47DrQ/edit?usp=sharing"",""จัดที่ดิน!AS54"")"),3)</f>
        <v>3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IFERROR(__xludf.DUMMYFUNCTION("IMPORTRANGE(""https://docs.google.com/spreadsheets/d/1XWAQStnk-4SwqDmLtmXYiTMKHgktTP8We1SCoS47DrQ/edit?usp=sharing"",""จัดที่ดิน!AT54"")"),1.41)</f>
        <v>1.41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IFERROR(__xludf.DUMMYFUNCTION("IMPORTRANGE(""https://docs.google.com/spreadsheets/d/1QqKyyYR6Q21VydFLVH3TRQUabQu_ym0Zz7PgGX0-kHA/edit?usp=sharing"",""แผน!HS54"")"),0)</f>
        <v>0</v>
      </c>
      <c r="J647" s="269">
        <f ca="1">IFERROR(__xludf.DUMMYFUNCTION("IMPORTRANGE(""https://docs.google.com/spreadsheets/d/1XWAQStnk-4SwqDmLtmXYiTMKHgktTP8We1SCoS47DrQ/edit?usp=sharing"",""จัดที่ดิน!AU54"")"),3)</f>
        <v>3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IFERROR(__xludf.DUMMYFUNCTION("IMPORTRANGE(""https://docs.google.com/spreadsheets/d/1XWAQStnk-4SwqDmLtmXYiTMKHgktTP8We1SCoS47DrQ/edit?usp=sharing"",""จัดที่ดิน!AV54"")"),19.68)</f>
        <v>19.68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IFERROR(__xludf.DUMMYFUNCTION("IMPORTRANGE(""https://docs.google.com/spreadsheets/d/1QqKyyYR6Q21VydFLVH3TRQUabQu_ym0Zz7PgGX0-kHA/edit?usp=sharing"",""แผน!HS54"")"),0)</f>
        <v>0</v>
      </c>
      <c r="J649" s="269">
        <f ca="1">IFERROR(__xludf.DUMMYFUNCTION("IMPORTRANGE(""https://docs.google.com/spreadsheets/d/1XWAQStnk-4SwqDmLtmXYiTMKHgktTP8We1SCoS47DrQ/edit?usp=sharing"",""จัดที่ดิน!AW54"")"),2)</f>
        <v>2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IFERROR(__xludf.DUMMYFUNCTION("IMPORTRANGE(""https://docs.google.com/spreadsheets/d/1XWAQStnk-4SwqDmLtmXYiTMKHgktTP8We1SCoS47DrQ/edit?usp=sharing"",""จัดที่ดิน!AX54"")"),18.63)</f>
        <v>18.63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IFERROR(__xludf.DUMMYFUNCTION("IMPORTRANGE(""https://docs.google.com/spreadsheets/d/1QqKyyYR6Q21VydFLVH3TRQUabQu_ym0Zz7PgGX0-kHA/edit?usp=sharing"",""แผน!HS54"")"),0)</f>
        <v>0</v>
      </c>
      <c r="J651" s="269">
        <f ca="1">IFERROR(__xludf.DUMMYFUNCTION("IMPORTRANGE(""https://docs.google.com/spreadsheets/d/1XWAQStnk-4SwqDmLtmXYiTMKHgktTP8We1SCoS47DrQ/edit?usp=sharing"",""จัดที่ดิน!AY54"")"),0)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4269</v>
      </c>
      <c r="N655" s="194">
        <f>N656+N657</f>
        <v>4269</v>
      </c>
      <c r="O655" s="194">
        <f t="shared" ref="O655:O660" ca="1" si="94">IF(L655&gt;0,N655*100/L655,0)</f>
        <v>45.414893617021278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4269</v>
      </c>
      <c r="N657" s="92">
        <f t="shared" si="96"/>
        <v>4269</v>
      </c>
      <c r="O657" s="92">
        <f t="shared" ca="1" si="94"/>
        <v>45.414893617021278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4269</v>
      </c>
      <c r="N658" s="497">
        <f>N659+N660</f>
        <v>4269</v>
      </c>
      <c r="O658" s="497">
        <f t="shared" ca="1" si="94"/>
        <v>45.414893617021278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IFERROR(__xludf.DUMMYFUNCTION("IMPORTRANGE(""https://docs.google.com/spreadsheets/d/1QqKyyYR6Q21VydFLVH3TRQUabQu_ym0Zz7PgGX0-kHA/edit?usp=sharing"",""แผน!HV54"")"),9400)</f>
        <v>9400</v>
      </c>
      <c r="M660" s="92">
        <f ca="1">L660-5131</f>
        <v>4269</v>
      </c>
      <c r="N660" s="92">
        <f>N661+N662+N663+N664</f>
        <v>4269</v>
      </c>
      <c r="O660" s="92">
        <f t="shared" ca="1" si="94"/>
        <v>45.414893617021278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IFERROR(__xludf.DUMMYFUNCTION("IMPORTRANGE(""https://docs.google.com/spreadsheets/d/1QqKyyYR6Q21VydFLVH3TRQUabQu_ym0Zz7PgGX0-kHA/edit?usp=sharing"",""แผน!HZ54"")"),4)</f>
        <v>4</v>
      </c>
      <c r="J670" s="214">
        <v>4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IFERROR(__xludf.DUMMYFUNCTION("IMPORTRANGE(""https://docs.google.com/spreadsheets/d/1QqKyyYR6Q21VydFLVH3TRQUabQu_ym0Zz7PgGX0-kHA/edit?usp=sharing"",""แผน!HZ54"")"),4)</f>
        <v>4</v>
      </c>
      <c r="J671" s="214">
        <v>4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181</v>
      </c>
      <c r="K672" s="497">
        <f ca="1">IF(I$669&gt;0,J672*100/I$669,0)</f>
        <v>362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27360</v>
      </c>
      <c r="M685" s="194">
        <f ca="1">M686+M687</f>
        <v>3565</v>
      </c>
      <c r="N685" s="194">
        <f>N686+N687</f>
        <v>3565</v>
      </c>
      <c r="O685" s="194">
        <f ca="1">IF(L685&gt;0,N685*100/L685,0)</f>
        <v>13.029970760233919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27360</v>
      </c>
      <c r="M687" s="92">
        <f t="shared" ca="1" si="97"/>
        <v>3565</v>
      </c>
      <c r="N687" s="92">
        <f t="shared" si="97"/>
        <v>3565</v>
      </c>
      <c r="O687" s="92">
        <f ca="1">IF(L687&gt;0,N687*100/L687,0)</f>
        <v>13.029970760233919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27360</v>
      </c>
      <c r="M688" s="497">
        <f ca="1">M689+M690</f>
        <v>3565</v>
      </c>
      <c r="N688" s="497">
        <f>N689+N690</f>
        <v>3565</v>
      </c>
      <c r="O688" s="497">
        <f ca="1">IF(L688&gt;0,N688*100/L688,0)</f>
        <v>13.029970760233919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IFERROR(__xludf.DUMMYFUNCTION("IMPORTRANGE(""https://docs.google.com/spreadsheets/d/1QqKyyYR6Q21VydFLVH3TRQUabQu_ym0Zz7PgGX0-kHA/edit?usp=sharing"",""แผน!HW54"")"),27360)</f>
        <v>27360</v>
      </c>
      <c r="M690" s="92">
        <f ca="1">L690-23795</f>
        <v>3565</v>
      </c>
      <c r="N690" s="92">
        <f>N691+N692+N693+N694</f>
        <v>3565</v>
      </c>
      <c r="O690" s="92">
        <f ca="1">IF(L690&gt;0,N690*100/L690,0)</f>
        <v>13.029970760233919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3565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69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69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19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2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2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4">
        <v>19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69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4">
        <f ca="1">IF(I721&gt;0,J721*100/I721,0)</f>
        <v>100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4">
        <f ca="1">IF(I722&gt;0,J722*100/I722,0)</f>
        <v>106.33333333333333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69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ca="1">IF(I723&gt;0,J723*100/I723,0)</f>
        <v>100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69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ca="1">IF(I725&gt;0,J725*100/I725,0)</f>
        <v>106.33333333333333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69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69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1</v>
      </c>
      <c r="K729" s="194">
        <f ca="1">IF(I729&gt;0,J729*100/I729,0)</f>
        <v>100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IFERROR(__xludf.DUMMYFUNCTION("IMPORTRANGE(""https://docs.google.com/spreadsheets/d/1QqKyyYR6Q21VydFLVH3TRQUabQu_ym0Zz7PgGX0-kHA/edit?usp=sharing"",""แผน!JJ54"")"),0)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IFERROR(__xludf.DUMMYFUNCTION("IMPORTRANGE(""https://docs.google.com/spreadsheets/d/1QqKyyYR6Q21VydFLVH3TRQUabQu_ym0Zz7PgGX0-kHA/edit?usp=sharing"",""แผน!JN54"")"),0)</f>
        <v>0</v>
      </c>
      <c r="J800" s="183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IFERROR(__xludf.DUMMYFUNCTION("IMPORTRANGE(""https://docs.google.com/spreadsheets/d/19vJNZY_5yjcGF2XGBMNZRCAIB0Kwfpjp8YEOfu-bneM/edit?usp=sharing"",""งานกองทุน!D54"")"),6886000)</f>
        <v>6886000</v>
      </c>
      <c r="J821" s="269">
        <f ca="1">IFERROR(__xludf.DUMMYFUNCTION("IMPORTRANGE(""https://docs.google.com/spreadsheets/d/19vJNZY_5yjcGF2XGBMNZRCAIB0Kwfpjp8YEOfu-bneM/edit?usp=sharing"",""งานกองทุน!F54"")"),6576000)</f>
        <v>6576000</v>
      </c>
      <c r="K821" s="497">
        <f t="shared" ref="K821:K828" ca="1" si="113">IF(I821&gt;0,J821*100/I821,0)</f>
        <v>95.498112111530645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IFERROR(__xludf.DUMMYFUNCTION("IMPORTRANGE(""https://docs.google.com/spreadsheets/d/19vJNZY_5yjcGF2XGBMNZRCAIB0Kwfpjp8YEOfu-bneM/edit?usp=sharing"",""งานกองทุน!C54"")"),345)</f>
        <v>345</v>
      </c>
      <c r="J822" s="269">
        <f ca="1">IFERROR(__xludf.DUMMYFUNCTION("IMPORTRANGE(""https://docs.google.com/spreadsheets/d/19vJNZY_5yjcGF2XGBMNZRCAIB0Kwfpjp8YEOfu-bneM/edit?usp=sharing"",""งานกองทุน!E54"")"),332)</f>
        <v>332</v>
      </c>
      <c r="K822" s="497">
        <f t="shared" ca="1" si="113"/>
        <v>96.231884057971016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69">
        <f ca="1">IFERROR(__xludf.DUMMYFUNCTION("IMPORTRANGE(""https://docs.google.com/spreadsheets/d/19vJNZY_5yjcGF2XGBMNZRCAIB0Kwfpjp8YEOfu-bneM/edit?usp=sharing"",""งานกองทุน!K54"")"),1350679.4)</f>
        <v>1350679.4</v>
      </c>
      <c r="K823" s="497">
        <f t="shared" ca="1" si="113"/>
        <v>8.9147501739981898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IFERROR(__xludf.DUMMYFUNCTION("IMPORTRANGE(""https://docs.google.com/spreadsheets/d/19vJNZY_5yjcGF2XGBMNZRCAIB0Kwfpjp8YEOfu-bneM/edit?usp=sharing"",""งานกองทุน!H54"")"),345)</f>
        <v>345</v>
      </c>
      <c r="J824" s="269">
        <f ca="1">IFERROR(__xludf.DUMMYFUNCTION("IMPORTRANGE(""https://docs.google.com/spreadsheets/d/19vJNZY_5yjcGF2XGBMNZRCAIB0Kwfpjp8YEOfu-bneM/edit?usp=sharing"",""งานกองทุน!J54"")"),165)</f>
        <v>165</v>
      </c>
      <c r="K824" s="497">
        <f t="shared" ca="1" si="113"/>
        <v>47.826086956521742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IFERROR(__xludf.DUMMYFUNCTION("IMPORTRANGE(""https://docs.google.com/spreadsheets/d/19vJNZY_5yjcGF2XGBMNZRCAIB0Kwfpjp8YEOfu-bneM/edit?usp=sharing"",""งานกองทุน!N54"")"),659619.26)</f>
        <v>659619.26</v>
      </c>
      <c r="J825" s="269">
        <f ca="1">IFERROR(__xludf.DUMMYFUNCTION("IMPORTRANGE(""https://docs.google.com/spreadsheets/d/19vJNZY_5yjcGF2XGBMNZRCAIB0Kwfpjp8YEOfu-bneM/edit?usp=sharing"",""งานกองทุน!P54"")"),102818.66)</f>
        <v>102818.66</v>
      </c>
      <c r="K825" s="497">
        <f t="shared" ca="1" si="113"/>
        <v>15.587576991005387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IFERROR(__xludf.DUMMYFUNCTION("IMPORTRANGE(""https://docs.google.com/spreadsheets/d/19vJNZY_5yjcGF2XGBMNZRCAIB0Kwfpjp8YEOfu-bneM/edit?usp=sharing"",""งานกองทุน!M54"")"),105)</f>
        <v>105</v>
      </c>
      <c r="J826" s="269">
        <f ca="1">IFERROR(__xludf.DUMMYFUNCTION("IMPORTRANGE(""https://docs.google.com/spreadsheets/d/19vJNZY_5yjcGF2XGBMNZRCAIB0Kwfpjp8YEOfu-bneM/edit?usp=sharing"",""งานกองทุน!O54"")"),102)</f>
        <v>102</v>
      </c>
      <c r="K826" s="497">
        <f t="shared" ca="1" si="113"/>
        <v>97.142857142857139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IFERROR(__xludf.DUMMYFUNCTION("IMPORTRANGE(""https://docs.google.com/spreadsheets/d/19vJNZY_5yjcGF2XGBMNZRCAIB0Kwfpjp8YEOfu-bneM/edit?usp=sharing"",""งานกองทุน!S54"")"),13880000)</f>
        <v>13880000</v>
      </c>
      <c r="J827" s="269">
        <f ca="1">IFERROR(__xludf.DUMMYFUNCTION("IMPORTRANGE(""https://docs.google.com/spreadsheets/d/19vJNZY_5yjcGF2XGBMNZRCAIB0Kwfpjp8YEOfu-bneM/edit?usp=sharing"",""งานกองทุน!U54"")"),6740000)</f>
        <v>6740000</v>
      </c>
      <c r="K827" s="497">
        <f t="shared" ca="1" si="113"/>
        <v>48.559077809798268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IFERROR(__xludf.DUMMYFUNCTION("IMPORTRANGE(""https://docs.google.com/spreadsheets/d/19vJNZY_5yjcGF2XGBMNZRCAIB0Kwfpjp8YEOfu-bneM/edit?usp=sharing"",""งานกองทุน!T54"")"),332)</f>
        <v>332</v>
      </c>
      <c r="K828" s="502">
        <f t="shared" ca="1" si="113"/>
        <v>59.81981981981982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73F98-ECA5-4E6A-96FB-8266C14FA7B6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21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337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7347333</v>
      </c>
      <c r="M8" s="21">
        <f ca="1">M9+M10</f>
        <v>7581798.0199999996</v>
      </c>
      <c r="N8" s="21">
        <f ca="1">N9+N10</f>
        <v>7581798.023</v>
      </c>
      <c r="O8" s="21">
        <f t="shared" ref="O8:O16" ca="1" si="0">IF(L8&gt;0,N8*100/L8,0)</f>
        <v>103.19115824748926</v>
      </c>
      <c r="P8" s="21">
        <f t="shared" ref="P8:P16" ca="1" si="1">IF(M8&gt;0,N8*100/M8,0)</f>
        <v>100.00000003956845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7347333</v>
      </c>
      <c r="M10" s="29">
        <f t="shared" ca="1" si="2"/>
        <v>7581798.0199999996</v>
      </c>
      <c r="N10" s="29">
        <f t="shared" ca="1" si="2"/>
        <v>7581798.023</v>
      </c>
      <c r="O10" s="29">
        <f t="shared" ca="1" si="0"/>
        <v>103.19115824748926</v>
      </c>
      <c r="P10" s="29">
        <f t="shared" ca="1" si="1"/>
        <v>100.00000003956845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5853733</v>
      </c>
      <c r="M11" s="497">
        <f ca="1">M12+M13</f>
        <v>6155198.0199999996</v>
      </c>
      <c r="N11" s="497">
        <f ca="1">N12+N13</f>
        <v>6155198.023</v>
      </c>
      <c r="O11" s="497">
        <f t="shared" ca="1" si="0"/>
        <v>105.14996196444217</v>
      </c>
      <c r="P11" s="497">
        <f t="shared" ca="1" si="1"/>
        <v>100.0000000487393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5853733</v>
      </c>
      <c r="M13" s="92">
        <f t="shared" ca="1" si="3"/>
        <v>6155198.0199999996</v>
      </c>
      <c r="N13" s="92">
        <f t="shared" ca="1" si="3"/>
        <v>6155198.023</v>
      </c>
      <c r="O13" s="92">
        <f t="shared" ca="1" si="0"/>
        <v>105.14996196444217</v>
      </c>
      <c r="P13" s="92">
        <f t="shared" ca="1" si="1"/>
        <v>100.0000000487393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1493600</v>
      </c>
      <c r="M14" s="497">
        <f ca="1">M15+M16</f>
        <v>1426600</v>
      </c>
      <c r="N14" s="497">
        <f ca="1">N15+N16</f>
        <v>1426600</v>
      </c>
      <c r="O14" s="497">
        <f t="shared" ca="1" si="0"/>
        <v>95.514193893947507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1493600</v>
      </c>
      <c r="M16" s="51">
        <f t="shared" ca="1" si="4"/>
        <v>1426600</v>
      </c>
      <c r="N16" s="51">
        <f t="shared" ca="1" si="4"/>
        <v>1426600</v>
      </c>
      <c r="O16" s="51">
        <f t="shared" ca="1" si="0"/>
        <v>95.514193893947507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5413505</v>
      </c>
      <c r="M18" s="21">
        <f ca="1">M19+M20</f>
        <v>5917695.1200000001</v>
      </c>
      <c r="N18" s="21">
        <f ca="1">N19+N20</f>
        <v>5917695.1200000001</v>
      </c>
      <c r="O18" s="21">
        <f t="shared" ref="O18:O26" ca="1" si="5">IF(L18&gt;0,N18*100/L18,0)</f>
        <v>109.31356154653963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5413505</v>
      </c>
      <c r="M20" s="29">
        <f t="shared" ca="1" si="7"/>
        <v>5917695.1200000001</v>
      </c>
      <c r="N20" s="29">
        <f t="shared" ca="1" si="7"/>
        <v>5917695.1200000001</v>
      </c>
      <c r="O20" s="29">
        <f t="shared" ca="1" si="5"/>
        <v>109.31356154653963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3919905</v>
      </c>
      <c r="M21" s="497">
        <f ca="1">M22+M23</f>
        <v>4491095.12</v>
      </c>
      <c r="N21" s="497">
        <f ca="1">N22+N23</f>
        <v>4491095.12</v>
      </c>
      <c r="O21" s="497">
        <f t="shared" ca="1" si="5"/>
        <v>114.57152966717305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3919905</v>
      </c>
      <c r="M23" s="92">
        <f t="shared" ca="1" si="8"/>
        <v>4491095.12</v>
      </c>
      <c r="N23" s="92">
        <f t="shared" ca="1" si="8"/>
        <v>4491095.12</v>
      </c>
      <c r="O23" s="92">
        <f t="shared" ca="1" si="5"/>
        <v>114.57152966717305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1493600</v>
      </c>
      <c r="M24" s="497">
        <f ca="1">M25+M26</f>
        <v>1426600</v>
      </c>
      <c r="N24" s="497">
        <f ca="1">N25+N26</f>
        <v>1426600</v>
      </c>
      <c r="O24" s="497">
        <f t="shared" ca="1" si="5"/>
        <v>95.514193893947507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1493600</v>
      </c>
      <c r="M26" s="51">
        <f t="shared" ca="1" si="9"/>
        <v>1426600</v>
      </c>
      <c r="N26" s="51">
        <f t="shared" ca="1" si="9"/>
        <v>1426600</v>
      </c>
      <c r="O26" s="51">
        <f t="shared" ca="1" si="5"/>
        <v>95.514193893947507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1933828</v>
      </c>
      <c r="M28" s="21">
        <f ca="1">M29+M30</f>
        <v>1664102.9</v>
      </c>
      <c r="N28" s="21">
        <f>N29+N30</f>
        <v>1664102.9029999999</v>
      </c>
      <c r="O28" s="21">
        <f t="shared" ref="O28:O37" ca="1" si="10">IF(L28&gt;0,N28*100/L28,0)</f>
        <v>86.052270574218582</v>
      </c>
      <c r="P28" s="21">
        <f t="shared" ref="P28:P37" ca="1" si="11">IF(M28&gt;0,N28*100/M28,0)</f>
        <v>100.00000018027731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1933828</v>
      </c>
      <c r="M30" s="29">
        <f t="shared" ca="1" si="12"/>
        <v>1664102.9</v>
      </c>
      <c r="N30" s="29">
        <f t="shared" si="12"/>
        <v>1664102.9029999999</v>
      </c>
      <c r="O30" s="29">
        <f t="shared" ca="1" si="10"/>
        <v>86.052270574218582</v>
      </c>
      <c r="P30" s="29">
        <f t="shared" ca="1" si="11"/>
        <v>100.00000018027731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1933828</v>
      </c>
      <c r="M31" s="497">
        <f ca="1">M32+M33</f>
        <v>1664102.9</v>
      </c>
      <c r="N31" s="497">
        <f>N32+N33</f>
        <v>1664102.9029999999</v>
      </c>
      <c r="O31" s="497">
        <f t="shared" ca="1" si="10"/>
        <v>86.052270574218582</v>
      </c>
      <c r="P31" s="497">
        <f t="shared" ca="1" si="11"/>
        <v>100.00000018027731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1933828</v>
      </c>
      <c r="M33" s="92">
        <f t="shared" ca="1" si="13"/>
        <v>1664102.9</v>
      </c>
      <c r="N33" s="92">
        <f t="shared" si="13"/>
        <v>1664102.9029999999</v>
      </c>
      <c r="O33" s="92">
        <f t="shared" ca="1" si="10"/>
        <v>86.052270574218582</v>
      </c>
      <c r="P33" s="92">
        <f t="shared" ca="1" si="11"/>
        <v>100.00000018027731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5413505</v>
      </c>
      <c r="M37" s="58">
        <f ca="1">M41+M53+M66+M88+M119+M132+M149+M165+M181+M261+M277+M298+M315+M328+M345+M389+M402</f>
        <v>5917695.1200000001</v>
      </c>
      <c r="N37" s="58">
        <f ca="1">N41+N53+N66+N88+N119+N132+N149+N165+N181+N261+N277+N298+N315+N328+N345+N389+N402</f>
        <v>5917695.1200000001</v>
      </c>
      <c r="O37" s="58">
        <f t="shared" ca="1" si="10"/>
        <v>109.31356154653963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536750</v>
      </c>
      <c r="M41" s="84">
        <f ca="1">M42+M43</f>
        <v>763351.16</v>
      </c>
      <c r="N41" s="84">
        <f ca="1">N42+N43</f>
        <v>763351.16</v>
      </c>
      <c r="O41" s="84">
        <f t="shared" ref="O41:O49" ca="1" si="15">IF(L41&gt;0,N41*100/L41,0)</f>
        <v>142.21726315789473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536750</v>
      </c>
      <c r="M43" s="91">
        <f t="shared" ca="1" si="17"/>
        <v>763351.16</v>
      </c>
      <c r="N43" s="91">
        <f t="shared" ca="1" si="17"/>
        <v>763351.16</v>
      </c>
      <c r="O43" s="91">
        <f t="shared" ca="1" si="15"/>
        <v>142.21726315789473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536750</v>
      </c>
      <c r="M44" s="497">
        <f ca="1">M45+M46</f>
        <v>763351.16</v>
      </c>
      <c r="N44" s="497">
        <f ca="1">N45+N46</f>
        <v>763351.16</v>
      </c>
      <c r="O44" s="497">
        <f t="shared" ca="1" si="15"/>
        <v>142.21726315789473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IFERROR(__xludf.DUMMYFUNCTION("IMPORTRANGE(""https://docs.google.com/spreadsheets/d/1MeEWN-I1oV_STSDYn1IFDPWt_1FKiwhDph83XaGc0o0/edit?usp=sharing"",""งบพรบ!M55"")"),536750)</f>
        <v>536750</v>
      </c>
      <c r="M46" s="92">
        <f ca="1">IFERROR(__xludf.DUMMYFUNCTION("IMPORTRANGE(""https://docs.google.com/spreadsheets/d/1MeEWN-I1oV_STSDYn1IFDPWt_1FKiwhDph83XaGc0o0/edit?usp=sharing"",""งบพรบ!R55"")"),763351.16)</f>
        <v>763351.16</v>
      </c>
      <c r="N46" s="92">
        <f ca="1">IFERROR(__xludf.DUMMYFUNCTION("IMPORTRANGE(""https://docs.google.com/spreadsheets/d/1MeEWN-I1oV_STSDYn1IFDPWt_1FKiwhDph83XaGc0o0/edit?usp=sharing"",""งบพรบ!T55"")"),763351.16)</f>
        <v>763351.16</v>
      </c>
      <c r="O46" s="92">
        <f t="shared" ca="1" si="15"/>
        <v>142.21726315789473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IFERROR(__xludf.DUMMYFUNCTION("IMPORTRANGE(""https://docs.google.com/spreadsheets/d/1MeEWN-I1oV_STSDYn1IFDPWt_1FKiwhDph83XaGc0o0/edit?usp=sharing"",""งบพรบ!P55"")"),0)</f>
        <v>0</v>
      </c>
      <c r="M49" s="51">
        <f ca="1">IFERROR(__xludf.DUMMYFUNCTION("IMPORTRANGE(""https://docs.google.com/spreadsheets/d/1MeEWN-I1oV_STSDYn1IFDPWt_1FKiwhDph83XaGc0o0/edit?usp=sharing"",""งบพรบ!S55"")"),0)</f>
        <v>0</v>
      </c>
      <c r="N49" s="51">
        <f ca="1">IFERROR(__xludf.DUMMYFUNCTION("IMPORTRANGE(""https://docs.google.com/spreadsheets/d/1MeEWN-I1oV_STSDYn1IFDPWt_1FKiwhDph83XaGc0o0/edit?usp=sharing"",""งบพรบ!U55"")"),0)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1117500</v>
      </c>
      <c r="M53" s="115">
        <f ca="1">M54+M55</f>
        <v>1221808.96</v>
      </c>
      <c r="N53" s="115">
        <f ca="1">N54+N55</f>
        <v>1221808.96</v>
      </c>
      <c r="O53" s="115">
        <f t="shared" ref="O53:O61" ca="1" si="18">IF(L53&gt;0,N53*100/L53,0)</f>
        <v>109.3341351230425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1117500</v>
      </c>
      <c r="M55" s="122">
        <f t="shared" ca="1" si="20"/>
        <v>1221808.96</v>
      </c>
      <c r="N55" s="122">
        <f t="shared" ca="1" si="20"/>
        <v>1221808.96</v>
      </c>
      <c r="O55" s="122">
        <f t="shared" ca="1" si="18"/>
        <v>109.3341351230425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928700</v>
      </c>
      <c r="M56" s="497">
        <f ca="1">M57+M58</f>
        <v>1033008.96</v>
      </c>
      <c r="N56" s="497">
        <f ca="1">N57+N58</f>
        <v>1033008.96</v>
      </c>
      <c r="O56" s="497">
        <f t="shared" ca="1" si="18"/>
        <v>111.2317174545063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IFERROR(__xludf.DUMMYFUNCTION("IMPORTRANGE(""https://docs.google.com/spreadsheets/d/1MeEWN-I1oV_STSDYn1IFDPWt_1FKiwhDph83XaGc0o0/edit?usp=sharing"",""งบพรบ!W55"")"),928700)</f>
        <v>928700</v>
      </c>
      <c r="M58" s="92">
        <f ca="1">IFERROR(__xludf.DUMMYFUNCTION("IMPORTRANGE(""https://docs.google.com/spreadsheets/d/1MeEWN-I1oV_STSDYn1IFDPWt_1FKiwhDph83XaGc0o0/edit?usp=sharing"",""งบพรบ!AB55"")"),1033008.96)</f>
        <v>1033008.96</v>
      </c>
      <c r="N58" s="92">
        <f ca="1">IFERROR(__xludf.DUMMYFUNCTION("IMPORTRANGE(""https://docs.google.com/spreadsheets/d/1MeEWN-I1oV_STSDYn1IFDPWt_1FKiwhDph83XaGc0o0/edit?usp=sharing"",""งบพรบ!AD55"")"),1033008.96)</f>
        <v>1033008.96</v>
      </c>
      <c r="O58" s="92">
        <f t="shared" ca="1" si="18"/>
        <v>111.2317174545063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188800</v>
      </c>
      <c r="M59" s="497">
        <f ca="1">M60+M61</f>
        <v>188800</v>
      </c>
      <c r="N59" s="497">
        <f ca="1">N60+N61</f>
        <v>188800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IFERROR(__xludf.DUMMYFUNCTION("IMPORTRANGE(""https://docs.google.com/spreadsheets/d/1MeEWN-I1oV_STSDYn1IFDPWt_1FKiwhDph83XaGc0o0/edit?usp=sharing"",""งบพรบ!Z55"")"),188800)</f>
        <v>188800</v>
      </c>
      <c r="M61" s="51">
        <f ca="1">IFERROR(__xludf.DUMMYFUNCTION("IMPORTRANGE(""https://docs.google.com/spreadsheets/d/1MeEWN-I1oV_STSDYn1IFDPWt_1FKiwhDph83XaGc0o0/edit?usp=sharing"",""งบพรบ!AC55"")"),188800)</f>
        <v>188800</v>
      </c>
      <c r="N61" s="51">
        <f ca="1">IFERROR(__xludf.DUMMYFUNCTION("IMPORTRANGE(""https://docs.google.com/spreadsheets/d/1MeEWN-I1oV_STSDYn1IFDPWt_1FKiwhDph83XaGc0o0/edit?usp=sharing"",""งบพรบ!AE55"")"),188800)</f>
        <v>188800</v>
      </c>
      <c r="O61" s="51">
        <f t="shared" ca="1" si="18"/>
        <v>100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IFERROR(__xludf.DUMMYFUNCTION("IMPORTRANGE(""https://docs.google.com/spreadsheets/d/1MeEWN-I1oV_STSDYn1IFDPWt_1FKiwhDph83XaGc0o0/edit?usp=sharing"",""งบพรบ!AG55"")"),0)</f>
        <v>0</v>
      </c>
      <c r="M71" s="92">
        <f ca="1">IFERROR(__xludf.DUMMYFUNCTION("IMPORTRANGE(""https://docs.google.com/spreadsheets/d/1MeEWN-I1oV_STSDYn1IFDPWt_1FKiwhDph83XaGc0o0/edit?usp=sharing"",""งบพรบ!AL55"")"),0)</f>
        <v>0</v>
      </c>
      <c r="N71" s="92">
        <f ca="1">IFERROR(__xludf.DUMMYFUNCTION("IMPORTRANGE(""https://docs.google.com/spreadsheets/d/1MeEWN-I1oV_STSDYn1IFDPWt_1FKiwhDph83XaGc0o0/edit?usp=sharing"",""งบพรบ!AN55"")"),0)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IFERROR(__xludf.DUMMYFUNCTION("IMPORTRANGE(""https://docs.google.com/spreadsheets/d/1MeEWN-I1oV_STSDYn1IFDPWt_1FKiwhDph83XaGc0o0/edit?usp=sharing"",""งบพรบ!AJ55"")"),0)</f>
        <v>0</v>
      </c>
      <c r="M74" s="92">
        <f ca="1">IFERROR(__xludf.DUMMYFUNCTION("IMPORTRANGE(""https://docs.google.com/spreadsheets/d/1MeEWN-I1oV_STSDYn1IFDPWt_1FKiwhDph83XaGc0o0/edit?usp=sharing"",""งบพรบ!AM55"")"),0)</f>
        <v>0</v>
      </c>
      <c r="N74" s="92">
        <f ca="1">IFERROR(__xludf.DUMMYFUNCTION("IMPORTRANGE(""https://docs.google.com/spreadsheets/d/1MeEWN-I1oV_STSDYn1IFDPWt_1FKiwhDph83XaGc0o0/edit?usp=sharing"",""งบพรบ!AO55"")"),0)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IFERROR(__xludf.DUMMYFUNCTION("IMPORTRANGE(""https://docs.google.com/spreadsheets/d/1QqKyyYR6Q21VydFLVH3TRQUabQu_ym0Zz7PgGX0-kHA/edit?usp=sharing"",""แผน!H55"")"),0)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IFERROR(__xludf.DUMMYFUNCTION("IMPORTRANGE(""https://docs.google.com/spreadsheets/d/1QqKyyYR6Q21VydFLVH3TRQUabQu_ym0Zz7PgGX0-kHA/edit?usp=sharing"",""แผน!I55"")"),0)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IFERROR(__xludf.DUMMYFUNCTION("IMPORTRANGE(""https://docs.google.com/spreadsheets/d/1QqKyyYR6Q21VydFLVH3TRQUabQu_ym0Zz7PgGX0-kHA/edit?usp=sharing"",""แผน!F55"")"),0)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IFERROR(__xludf.DUMMYFUNCTION("IMPORTRANGE(""https://docs.google.com/spreadsheets/d/1QqKyyYR6Q21VydFLVH3TRQUabQu_ym0Zz7PgGX0-kHA/edit?usp=sharing"",""แผน!G55"")"),0)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IFERROR(__xludf.DUMMYFUNCTION("IMPORTRANGE(""https://docs.google.com/spreadsheets/d/1QqKyyYR6Q21VydFLVH3TRQUabQu_ym0Zz7PgGX0-kHA/edit?usp=sharing"",""แผน!D55"")"),0)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IFERROR(__xludf.DUMMYFUNCTION("IMPORTRANGE(""https://docs.google.com/spreadsheets/d/1QqKyyYR6Q21VydFLVH3TRQUabQu_ym0Zz7PgGX0-kHA/edit?usp=sharing"",""แผน!E55"")"),0)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IFERROR(__xludf.DUMMYFUNCTION("IMPORTRANGE(""https://docs.google.com/spreadsheets/d/1QqKyyYR6Q21VydFLVH3TRQUabQu_ym0Zz7PgGX0-kHA/edit?usp=sharing"",""แผน!J55"")"),0)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85840</v>
      </c>
      <c r="M88" s="154">
        <f ca="1">M89+M90</f>
        <v>85840</v>
      </c>
      <c r="N88" s="154">
        <f ca="1">N89+N90</f>
        <v>85840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85840</v>
      </c>
      <c r="M90" s="92">
        <f t="shared" ca="1" si="27"/>
        <v>85840</v>
      </c>
      <c r="N90" s="92">
        <f t="shared" ca="1" si="27"/>
        <v>85840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85840</v>
      </c>
      <c r="M91" s="497">
        <f ca="1">M92+M93</f>
        <v>85840</v>
      </c>
      <c r="N91" s="497">
        <f ca="1">N92+N93</f>
        <v>85840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IFERROR(__xludf.DUMMYFUNCTION("IMPORTRANGE(""https://docs.google.com/spreadsheets/d/1MeEWN-I1oV_STSDYn1IFDPWt_1FKiwhDph83XaGc0o0/edit?usp=sharing"",""งบพรบ!AQ55"")"),85840)</f>
        <v>85840</v>
      </c>
      <c r="M93" s="92">
        <f ca="1">IFERROR(__xludf.DUMMYFUNCTION("IMPORTRANGE(""https://docs.google.com/spreadsheets/d/1MeEWN-I1oV_STSDYn1IFDPWt_1FKiwhDph83XaGc0o0/edit?usp=sharing"",""งบพรบ!AV55"")"),85840)</f>
        <v>85840</v>
      </c>
      <c r="N93" s="92">
        <f ca="1">IFERROR(__xludf.DUMMYFUNCTION("IMPORTRANGE(""https://docs.google.com/spreadsheets/d/1MeEWN-I1oV_STSDYn1IFDPWt_1FKiwhDph83XaGc0o0/edit?usp=sharing"",""งบพรบ!AX55"")"),85840)</f>
        <v>85840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IFERROR(__xludf.DUMMYFUNCTION("IMPORTRANGE(""https://docs.google.com/spreadsheets/d/1MeEWN-I1oV_STSDYn1IFDPWt_1FKiwhDph83XaGc0o0/edit?usp=sharing"",""งบพรบ!AT55"")"),0)</f>
        <v>0</v>
      </c>
      <c r="M96" s="92">
        <f ca="1">IFERROR(__xludf.DUMMYFUNCTION("IMPORTRANGE(""https://docs.google.com/spreadsheets/d/1MeEWN-I1oV_STSDYn1IFDPWt_1FKiwhDph83XaGc0o0/edit?usp=sharing"",""งบพรบ!AW55"")"),0)</f>
        <v>0</v>
      </c>
      <c r="N96" s="92">
        <f ca="1">IFERROR(__xludf.DUMMYFUNCTION("IMPORTRANGE(""https://docs.google.com/spreadsheets/d/1MeEWN-I1oV_STSDYn1IFDPWt_1FKiwhDph83XaGc0o0/edit?usp=sharing"",""งบพรบ!AY55"")"),0)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IFERROR(__xludf.DUMMYFUNCTION("IMPORTRANGE(""https://docs.google.com/spreadsheets/d/1QqKyyYR6Q21VydFLVH3TRQUabQu_ym0Zz7PgGX0-kHA/edit?usp=sharing"",""แผน!K55"")"),30)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IFERROR(__xludf.DUMMYFUNCTION("IMPORTRANGE(""https://docs.google.com/spreadsheets/d/1QqKyyYR6Q21VydFLVH3TRQUabQu_ym0Zz7PgGX0-kHA/edit?usp=sharing"",""แผน!L55"")"),10)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IFERROR(__xludf.DUMMYFUNCTION("IMPORTRANGE(""https://docs.google.com/spreadsheets/d/1QqKyyYR6Q21VydFLVH3TRQUabQu_ym0Zz7PgGX0-kHA/edit?usp=sharing"",""แผน!M55"")"),2)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IFERROR(__xludf.DUMMYFUNCTION("IMPORTRANGE(""https://docs.google.com/spreadsheets/d/1QqKyyYR6Q21VydFLVH3TRQUabQu_ym0Zz7PgGX0-kHA/edit?usp=sharing"",""แผน!N55"")"),30)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IFERROR(__xludf.DUMMYFUNCTION("IMPORTRANGE(""https://docs.google.com/spreadsheets/d/1QqKyyYR6Q21VydFLVH3TRQUabQu_ym0Zz7PgGX0-kHA/edit?usp=sharing"",""แผน!O55"")"),10)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IFERROR(__xludf.DUMMYFUNCTION("IMPORTRANGE(""https://docs.google.com/spreadsheets/d/1QqKyyYR6Q21VydFLVH3TRQUabQu_ym0Zz7PgGX0-kHA/edit?usp=sharing"",""แผน!O55"")"),10)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IFERROR(__xludf.DUMMYFUNCTION("IMPORTRANGE(""https://docs.google.com/spreadsheets/d/1QqKyyYR6Q21VydFLVH3TRQUabQu_ym0Zz7PgGX0-kHA/edit?usp=sharing"",""แผน!P55"")"),1)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IFERROR(__xludf.DUMMYFUNCTION("IMPORTRANGE(""https://docs.google.com/spreadsheets/d/1QqKyyYR6Q21VydFLVH3TRQUabQu_ym0Zz7PgGX0-kHA/edit?usp=sharing"",""แผน!P55"")"),1)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IFERROR(__xludf.DUMMYFUNCTION("IMPORTRANGE(""https://docs.google.com/spreadsheets/d/1QqKyyYR6Q21VydFLVH3TRQUabQu_ym0Zz7PgGX0-kHA/edit?usp=sharing"",""แผน!Q55"")"),1)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IFERROR(__xludf.DUMMYFUNCTION("IMPORTRANGE(""https://docs.google.com/spreadsheets/d/1QqKyyYR6Q21VydFLVH3TRQUabQu_ym0Zz7PgGX0-kHA/edit?usp=sharing"",""แผน!Q55"")"),1)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IFERROR(__xludf.DUMMYFUNCTION("IMPORTRANGE(""https://docs.google.com/spreadsheets/d/1QqKyyYR6Q21VydFLVH3TRQUabQu_ym0Zz7PgGX0-kHA/edit?usp=sharing"",""แผน!R55"")"),10)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IFERROR(__xludf.DUMMYFUNCTION("IMPORTRANGE(""https://docs.google.com/spreadsheets/d/1QqKyyYR6Q21VydFLVH3TRQUabQu_ym0Zz7PgGX0-kHA/edit?usp=sharing"",""แผน!R55"")"),10)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IFERROR(__xludf.DUMMYFUNCTION("IMPORTRANGE(""https://docs.google.com/spreadsheets/d/1QqKyyYR6Q21VydFLVH3TRQUabQu_ym0Zz7PgGX0-kHA/edit?usp=sharing"",""แผน!S55"")"),1)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IFERROR(__xludf.DUMMYFUNCTION("IMPORTRANGE(""https://docs.google.com/spreadsheets/d/1QqKyyYR6Q21VydFLVH3TRQUabQu_ym0Zz7PgGX0-kHA/edit?usp=sharing"",""แผน!T55"")"),1)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IFERROR(__xludf.DUMMYFUNCTION("IMPORTRANGE(""https://docs.google.com/spreadsheets/d/1MeEWN-I1oV_STSDYn1IFDPWt_1FKiwhDph83XaGc0o0/edit?usp=sharing"",""งบพรบ!BA55"")"),0)</f>
        <v>0</v>
      </c>
      <c r="M124" s="92">
        <f ca="1">IFERROR(__xludf.DUMMYFUNCTION("IMPORTRANGE(""https://docs.google.com/spreadsheets/d/1MeEWN-I1oV_STSDYn1IFDPWt_1FKiwhDph83XaGc0o0/edit?usp=sharing"",""งบพรบ!BF55"")"),0)</f>
        <v>0</v>
      </c>
      <c r="N124" s="92">
        <f ca="1">IFERROR(__xludf.DUMMYFUNCTION("IMPORTRANGE(""https://docs.google.com/spreadsheets/d/1MeEWN-I1oV_STSDYn1IFDPWt_1FKiwhDph83XaGc0o0/edit?usp=sharing"",""งบพรบ!BH55"")"),0)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IFERROR(__xludf.DUMMYFUNCTION("IMPORTRANGE(""https://docs.google.com/spreadsheets/d/1MeEWN-I1oV_STSDYn1IFDPWt_1FKiwhDph83XaGc0o0/edit?usp=sharing"",""งบพรบ!BD55"")"),0)</f>
        <v>0</v>
      </c>
      <c r="M127" s="92">
        <f ca="1">IFERROR(__xludf.DUMMYFUNCTION("IMPORTRANGE(""https://docs.google.com/spreadsheets/d/1MeEWN-I1oV_STSDYn1IFDPWt_1FKiwhDph83XaGc0o0/edit?usp=sharing"",""งบพรบ!BG55"")"),0)</f>
        <v>0</v>
      </c>
      <c r="N127" s="92">
        <f ca="1">IFERROR(__xludf.DUMMYFUNCTION("IMPORTRANGE(""https://docs.google.com/spreadsheets/d/1MeEWN-I1oV_STSDYn1IFDPWt_1FKiwhDph83XaGc0o0/edit?usp=sharing"",""งบพรบ!BI55"")"),0)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1</v>
      </c>
      <c r="J130" s="143">
        <f>J146</f>
        <v>1</v>
      </c>
      <c r="K130" s="144">
        <f ca="1">IF(I130&gt;0,J130*100/I130,0)</f>
        <v>100</v>
      </c>
      <c r="L130" s="145"/>
      <c r="M130" s="145"/>
      <c r="N130" s="145"/>
      <c r="O130" s="145"/>
      <c r="P130" s="145"/>
    </row>
    <row r="131" spans="1:26" ht="19.5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10</v>
      </c>
      <c r="J131" s="143">
        <f ca="1">J143</f>
        <v>10</v>
      </c>
      <c r="K131" s="144">
        <f ca="1">IF(I131&gt;0,J131*100/I131,0)</f>
        <v>100</v>
      </c>
      <c r="L131" s="145"/>
      <c r="M131" s="145"/>
      <c r="N131" s="145"/>
      <c r="O131" s="145"/>
      <c r="P131" s="145"/>
    </row>
    <row r="132" spans="1:26" ht="19.5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151655</v>
      </c>
      <c r="M132" s="154">
        <f ca="1">M133+M134</f>
        <v>152655</v>
      </c>
      <c r="N132" s="154">
        <f ca="1">N133+N134</f>
        <v>152655</v>
      </c>
      <c r="O132" s="154">
        <f t="shared" ref="O132:O140" ca="1" si="32">IF(L132&gt;0,N132*100/L132,0)</f>
        <v>100.65939138175465</v>
      </c>
      <c r="P132" s="154">
        <f t="shared" ref="P132:P140" ca="1" si="33">IF(M132&gt;0,N132*100/M132,0)</f>
        <v>100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151655</v>
      </c>
      <c r="M134" s="92">
        <f t="shared" ca="1" si="34"/>
        <v>152655</v>
      </c>
      <c r="N134" s="92">
        <f t="shared" ca="1" si="34"/>
        <v>152655</v>
      </c>
      <c r="O134" s="92">
        <f t="shared" ca="1" si="32"/>
        <v>100.65939138175465</v>
      </c>
      <c r="P134" s="92">
        <f t="shared" ca="1" si="33"/>
        <v>100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48655</v>
      </c>
      <c r="M135" s="497">
        <f ca="1">M136+M137</f>
        <v>49655</v>
      </c>
      <c r="N135" s="497">
        <f ca="1">N136+N137</f>
        <v>49655</v>
      </c>
      <c r="O135" s="497">
        <f t="shared" ca="1" si="32"/>
        <v>102.05528722638989</v>
      </c>
      <c r="P135" s="497">
        <f t="shared" ca="1" si="33"/>
        <v>100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IFERROR(__xludf.DUMMYFUNCTION("IMPORTRANGE(""https://docs.google.com/spreadsheets/d/1MeEWN-I1oV_STSDYn1IFDPWt_1FKiwhDph83XaGc0o0/edit?usp=sharing"",""งบพรบ!BK55"")"),48655)</f>
        <v>48655</v>
      </c>
      <c r="M137" s="92">
        <f ca="1">IFERROR(__xludf.DUMMYFUNCTION("IMPORTRANGE(""https://docs.google.com/spreadsheets/d/1MeEWN-I1oV_STSDYn1IFDPWt_1FKiwhDph83XaGc0o0/edit?usp=sharing"",""งบพรบ!BP55"")"),49655)</f>
        <v>49655</v>
      </c>
      <c r="N137" s="92">
        <f ca="1">IFERROR(__xludf.DUMMYFUNCTION("IMPORTRANGE(""https://docs.google.com/spreadsheets/d/1MeEWN-I1oV_STSDYn1IFDPWt_1FKiwhDph83XaGc0o0/edit?usp=sharing"",""งบพรบ!BR55"")"),49655)</f>
        <v>49655</v>
      </c>
      <c r="O137" s="92">
        <f t="shared" ca="1" si="32"/>
        <v>102.05528722638989</v>
      </c>
      <c r="P137" s="92">
        <f t="shared" ca="1" si="33"/>
        <v>100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103000</v>
      </c>
      <c r="M138" s="497">
        <f ca="1">M139+M140</f>
        <v>103000</v>
      </c>
      <c r="N138" s="497">
        <f ca="1">N139+N140</f>
        <v>103000</v>
      </c>
      <c r="O138" s="497">
        <f t="shared" ca="1" si="32"/>
        <v>100</v>
      </c>
      <c r="P138" s="497">
        <f t="shared" ca="1" si="33"/>
        <v>100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IFERROR(__xludf.DUMMYFUNCTION("IMPORTRANGE(""https://docs.google.com/spreadsheets/d/1MeEWN-I1oV_STSDYn1IFDPWt_1FKiwhDph83XaGc0o0/edit?usp=sharing"",""งบพรบ!BN55"")"),103000)</f>
        <v>103000</v>
      </c>
      <c r="M140" s="92">
        <f ca="1">IFERROR(__xludf.DUMMYFUNCTION("IMPORTRANGE(""https://docs.google.com/spreadsheets/d/1MeEWN-I1oV_STSDYn1IFDPWt_1FKiwhDph83XaGc0o0/edit?usp=sharing"",""งบพรบ!BQ55"")"),103000)</f>
        <v>103000</v>
      </c>
      <c r="N140" s="92">
        <f ca="1">IFERROR(__xludf.DUMMYFUNCTION("IMPORTRANGE(""https://docs.google.com/spreadsheets/d/1MeEWN-I1oV_STSDYn1IFDPWt_1FKiwhDph83XaGc0o0/edit?usp=sharing"",""งบพรบ!BS55"")"),103000)</f>
        <v>103000</v>
      </c>
      <c r="O140" s="92">
        <f t="shared" ca="1" si="32"/>
        <v>100</v>
      </c>
      <c r="P140" s="92">
        <f t="shared" ca="1" si="33"/>
        <v>100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1</v>
      </c>
      <c r="K142" s="497"/>
      <c r="L142" s="497"/>
      <c r="M142" s="497"/>
      <c r="N142" s="497"/>
      <c r="O142" s="497"/>
      <c r="P142" s="497"/>
    </row>
    <row r="143" spans="1:26" ht="19.5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10</v>
      </c>
      <c r="J143" s="269">
        <f ca="1">IF(AND(J144&gt;=I144,J145&gt;=I145),J145,0)</f>
        <v>10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IFERROR(__xludf.DUMMYFUNCTION("IMPORTRANGE(""https://docs.google.com/spreadsheets/d/1QqKyyYR6Q21VydFLVH3TRQUabQu_ym0Zz7PgGX0-kHA/edit?usp=sharing"",""แผน!U55"")"),5)</f>
        <v>5</v>
      </c>
      <c r="J144" s="214">
        <v>10</v>
      </c>
      <c r="K144" s="497">
        <f ca="1">IF(I144&gt;0,J144*100/I144,0)</f>
        <v>200</v>
      </c>
      <c r="L144" s="497"/>
      <c r="M144" s="497"/>
      <c r="N144" s="497"/>
      <c r="O144" s="497"/>
      <c r="P144" s="497"/>
    </row>
    <row r="145" spans="1:26" ht="19.5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IFERROR(__xludf.DUMMYFUNCTION("IMPORTRANGE(""https://docs.google.com/spreadsheets/d/1QqKyyYR6Q21VydFLVH3TRQUabQu_ym0Zz7PgGX0-kHA/edit?usp=sharing"",""แผน!V55"")"),10)</f>
        <v>10</v>
      </c>
      <c r="J145" s="214">
        <v>10</v>
      </c>
      <c r="K145" s="497">
        <f ca="1">IF(I145&gt;0,J145*100/I145,0)</f>
        <v>100</v>
      </c>
      <c r="L145" s="497"/>
      <c r="M145" s="497"/>
      <c r="N145" s="497"/>
      <c r="O145" s="497"/>
      <c r="P145" s="497"/>
    </row>
    <row r="146" spans="1:26" ht="19.5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IFERROR(__xludf.DUMMYFUNCTION("IMPORTRANGE(""https://docs.google.com/spreadsheets/d/1QqKyyYR6Q21VydFLVH3TRQUabQu_ym0Zz7PgGX0-kHA/edit?usp=sharing"",""แผน!W55"")"),1)</f>
        <v>1</v>
      </c>
      <c r="J146" s="214">
        <v>1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20</v>
      </c>
      <c r="J148" s="143">
        <f>J159</f>
        <v>22</v>
      </c>
      <c r="K148" s="144">
        <f ca="1">IF(I148&gt;0,J148*100/I148,0)</f>
        <v>110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10000</v>
      </c>
      <c r="M149" s="154">
        <f ca="1">M150+M151</f>
        <v>11040</v>
      </c>
      <c r="N149" s="154">
        <f ca="1">N150+N151</f>
        <v>11040</v>
      </c>
      <c r="O149" s="154">
        <f t="shared" ref="O149:O157" ca="1" si="35">IF(L149&gt;0,N149*100/L149,0)</f>
        <v>110.4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10000</v>
      </c>
      <c r="M151" s="92">
        <f t="shared" ca="1" si="37"/>
        <v>11040</v>
      </c>
      <c r="N151" s="92">
        <f t="shared" ca="1" si="37"/>
        <v>11040</v>
      </c>
      <c r="O151" s="92">
        <f t="shared" ca="1" si="35"/>
        <v>110.4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10000</v>
      </c>
      <c r="M152" s="497">
        <f ca="1">M153+M154</f>
        <v>11040</v>
      </c>
      <c r="N152" s="497">
        <f ca="1">N153+N154</f>
        <v>11040</v>
      </c>
      <c r="O152" s="497">
        <f t="shared" ca="1" si="35"/>
        <v>110.4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IFERROR(__xludf.DUMMYFUNCTION("IMPORTRANGE(""https://docs.google.com/spreadsheets/d/1MeEWN-I1oV_STSDYn1IFDPWt_1FKiwhDph83XaGc0o0/edit?usp=sharing"",""งบพรบ!BU55"")"),10000)</f>
        <v>10000</v>
      </c>
      <c r="M154" s="92">
        <f ca="1">IFERROR(__xludf.DUMMYFUNCTION("IMPORTRANGE(""https://docs.google.com/spreadsheets/d/1MeEWN-I1oV_STSDYn1IFDPWt_1FKiwhDph83XaGc0o0/edit?usp=sharing"",""งบพรบ!BZ55"")"),11040)</f>
        <v>11040</v>
      </c>
      <c r="N154" s="92">
        <f ca="1">IFERROR(__xludf.DUMMYFUNCTION("IMPORTRANGE(""https://docs.google.com/spreadsheets/d/1MeEWN-I1oV_STSDYn1IFDPWt_1FKiwhDph83XaGc0o0/edit?usp=sharing"",""งบพรบ!CB55"")"),11040)</f>
        <v>11040</v>
      </c>
      <c r="O154" s="92">
        <f t="shared" ca="1" si="35"/>
        <v>110.4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IFERROR(__xludf.DUMMYFUNCTION("IMPORTRANGE(""https://docs.google.com/spreadsheets/d/1MeEWN-I1oV_STSDYn1IFDPWt_1FKiwhDph83XaGc0o0/edit?usp=sharing"",""งบพรบ!BX55"")"),0)</f>
        <v>0</v>
      </c>
      <c r="M157" s="92">
        <f ca="1">IFERROR(__xludf.DUMMYFUNCTION("IMPORTRANGE(""https://docs.google.com/spreadsheets/d/1MeEWN-I1oV_STSDYn1IFDPWt_1FKiwhDph83XaGc0o0/edit?usp=sharing"",""งบพรบ!CA55"")"),0)</f>
        <v>0</v>
      </c>
      <c r="N157" s="92">
        <f ca="1">IFERROR(__xludf.DUMMYFUNCTION("IMPORTRANGE(""https://docs.google.com/spreadsheets/d/1MeEWN-I1oV_STSDYn1IFDPWt_1FKiwhDph83XaGc0o0/edit?usp=sharing"",""งบพรบ!CC55"")"),0)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IFERROR(__xludf.DUMMYFUNCTION("IMPORTRANGE(""https://docs.google.com/spreadsheets/d/1QqKyyYR6Q21VydFLVH3TRQUabQu_ym0Zz7PgGX0-kHA/edit?usp=sharing"",""แผน!X55"")"),20)</f>
        <v>20</v>
      </c>
      <c r="J159" s="214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12</v>
      </c>
      <c r="J164" s="252">
        <f>J174+J177</f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23060</v>
      </c>
      <c r="M165" s="154">
        <f ca="1">M166+M167</f>
        <v>51700</v>
      </c>
      <c r="N165" s="154">
        <f ca="1">N166+N167</f>
        <v>51700</v>
      </c>
      <c r="O165" s="154">
        <f t="shared" ref="O165:O173" ca="1" si="38">IF(L165&gt;0,N165*100/L165,0)</f>
        <v>224.19774501300955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23060</v>
      </c>
      <c r="M167" s="92">
        <f t="shared" ca="1" si="40"/>
        <v>51700</v>
      </c>
      <c r="N167" s="92">
        <f t="shared" ca="1" si="40"/>
        <v>51700</v>
      </c>
      <c r="O167" s="92">
        <f t="shared" ca="1" si="38"/>
        <v>224.19774501300955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23060</v>
      </c>
      <c r="M168" s="497">
        <f ca="1">M169+M170</f>
        <v>51700</v>
      </c>
      <c r="N168" s="497">
        <f ca="1">N169+N170</f>
        <v>51700</v>
      </c>
      <c r="O168" s="497">
        <f t="shared" ca="1" si="38"/>
        <v>224.19774501300955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IFERROR(__xludf.DUMMYFUNCTION("IMPORTRANGE(""https://docs.google.com/spreadsheets/d/1MeEWN-I1oV_STSDYn1IFDPWt_1FKiwhDph83XaGc0o0/edit?usp=sharing"",""งบพรบ!CE55"")"),23060)</f>
        <v>23060</v>
      </c>
      <c r="M170" s="92">
        <f ca="1">IFERROR(__xludf.DUMMYFUNCTION("IMPORTRANGE(""https://docs.google.com/spreadsheets/d/1MeEWN-I1oV_STSDYn1IFDPWt_1FKiwhDph83XaGc0o0/edit?usp=sharing"",""งบพรบ!CJ55"")"),51700)</f>
        <v>51700</v>
      </c>
      <c r="N170" s="92">
        <f ca="1">IFERROR(__xludf.DUMMYFUNCTION("IMPORTRANGE(""https://docs.google.com/spreadsheets/d/1MeEWN-I1oV_STSDYn1IFDPWt_1FKiwhDph83XaGc0o0/edit?usp=sharing"",""งบพรบ!CL55"")"),51700)</f>
        <v>51700</v>
      </c>
      <c r="O170" s="92">
        <f t="shared" ca="1" si="38"/>
        <v>224.19774501300955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IFERROR(__xludf.DUMMYFUNCTION("IMPORTRANGE(""https://docs.google.com/spreadsheets/d/1MeEWN-I1oV_STSDYn1IFDPWt_1FKiwhDph83XaGc0o0/edit?usp=sharing"",""งบพรบ!CH55"")"),0)</f>
        <v>0</v>
      </c>
      <c r="M173" s="92">
        <f ca="1">IFERROR(__xludf.DUMMYFUNCTION("IMPORTRANGE(""https://docs.google.com/spreadsheets/d/1MeEWN-I1oV_STSDYn1IFDPWt_1FKiwhDph83XaGc0o0/edit?usp=sharing"",""งบพรบ!CK55"")"),0)</f>
        <v>0</v>
      </c>
      <c r="N173" s="92">
        <f ca="1">IFERROR(__xludf.DUMMYFUNCTION("IMPORTRANGE(""https://docs.google.com/spreadsheets/d/1MeEWN-I1oV_STSDYn1IFDPWt_1FKiwhDph83XaGc0o0/edit?usp=sharing"",""งบพรบ!CM55"")"),0)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12</v>
      </c>
      <c r="J174" s="260">
        <f>J176</f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IFERROR(__xludf.DUMMYFUNCTION("IMPORTRANGE(""https://docs.google.com/spreadsheets/d/1QqKyyYR6Q21VydFLVH3TRQUabQu_ym0Zz7PgGX0-kHA/edit?usp=sharing"",""แผน!Y55"")"),12)</f>
        <v>12</v>
      </c>
      <c r="J176" s="214">
        <v>12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70</v>
      </c>
      <c r="J180" s="252">
        <f>J225+J226</f>
        <v>70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633700</v>
      </c>
      <c r="M181" s="154">
        <f ca="1">M182+M183</f>
        <v>667720</v>
      </c>
      <c r="N181" s="154">
        <f ca="1">N182+N183</f>
        <v>667720</v>
      </c>
      <c r="O181" s="154">
        <f t="shared" ref="O181:O189" ca="1" si="41">IF(L181&gt;0,N181*100/L181,0)</f>
        <v>105.36847088527695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633700</v>
      </c>
      <c r="M183" s="92">
        <f t="shared" ca="1" si="43"/>
        <v>667720</v>
      </c>
      <c r="N183" s="92">
        <f t="shared" ca="1" si="43"/>
        <v>667720</v>
      </c>
      <c r="O183" s="92">
        <f t="shared" ca="1" si="41"/>
        <v>105.36847088527695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633700</v>
      </c>
      <c r="M184" s="497">
        <f ca="1">M185+M186</f>
        <v>667720</v>
      </c>
      <c r="N184" s="497">
        <f ca="1">N185+N186</f>
        <v>667720</v>
      </c>
      <c r="O184" s="497">
        <f t="shared" ca="1" si="41"/>
        <v>105.36847088527695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IFERROR(__xludf.DUMMYFUNCTION("IMPORTRANGE(""https://docs.google.com/spreadsheets/d/1MeEWN-I1oV_STSDYn1IFDPWt_1FKiwhDph83XaGc0o0/edit?usp=sharing"",""งบพรบ!CO55"")"),633700)</f>
        <v>633700</v>
      </c>
      <c r="M186" s="92">
        <f ca="1">IFERROR(__xludf.DUMMYFUNCTION("IMPORTRANGE(""https://docs.google.com/spreadsheets/d/1MeEWN-I1oV_STSDYn1IFDPWt_1FKiwhDph83XaGc0o0/edit?usp=sharing"",""งบพรบ!CT55"")"),667720)</f>
        <v>667720</v>
      </c>
      <c r="N186" s="92">
        <f ca="1">IFERROR(__xludf.DUMMYFUNCTION("IMPORTRANGE(""https://docs.google.com/spreadsheets/d/1MeEWN-I1oV_STSDYn1IFDPWt_1FKiwhDph83XaGc0o0/edit?usp=sharing"",""งบพรบ!CV55"")"),667720)</f>
        <v>667720</v>
      </c>
      <c r="O186" s="92">
        <f t="shared" ca="1" si="41"/>
        <v>105.36847088527695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IFERROR(__xludf.DUMMYFUNCTION("IMPORTRANGE(""https://docs.google.com/spreadsheets/d/1MeEWN-I1oV_STSDYn1IFDPWt_1FKiwhDph83XaGc0o0/edit?usp=sharing"",""งบพรบ!CR55"")"),0)</f>
        <v>0</v>
      </c>
      <c r="M189" s="92">
        <f ca="1">IFERROR(__xludf.DUMMYFUNCTION("IMPORTRANGE(""https://docs.google.com/spreadsheets/d/1MeEWN-I1oV_STSDYn1IFDPWt_1FKiwhDph83XaGc0o0/edit?usp=sharing"",""งบพรบ!CU55"")"),0)</f>
        <v>0</v>
      </c>
      <c r="N189" s="92">
        <f ca="1">IFERROR(__xludf.DUMMYFUNCTION("IMPORTRANGE(""https://docs.google.com/spreadsheets/d/1MeEWN-I1oV_STSDYn1IFDPWt_1FKiwhDph83XaGc0o0/edit?usp=sharing"",""งบพรบ!CW55"")"),0)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IFERROR(__xludf.DUMMYFUNCTION("IMPORTRANGE(""https://docs.google.com/spreadsheets/d/1QqKyyYR6Q21VydFLVH3TRQUabQu_ym0Zz7PgGX0-kHA/edit?usp=sharing"",""แผน!Z55"")"),6000)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IFERROR(__xludf.DUMMYFUNCTION("IMPORTRANGE(""https://docs.google.com/spreadsheets/d/1QqKyyYR6Q21VydFLVH3TRQUabQu_ym0Zz7PgGX0-kHA/edit?usp=sharing"",""แผน!AC55"")"),4)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108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108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3</v>
      </c>
      <c r="J197" s="271">
        <f>J204</f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39000</v>
      </c>
      <c r="M198" s="154"/>
      <c r="N198" s="154">
        <f>N199+N200+N201+N202</f>
        <v>39000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3">
        <v>3000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3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3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IFERROR(__xludf.DUMMYFUNCTION("IMPORTRANGE(""https://docs.google.com/spreadsheets/d/1QqKyyYR6Q21VydFLVH3TRQUabQu_ym0Zz7PgGX0-kHA/edit?usp=sharing"",""แผน!AI55"")"),3)</f>
        <v>3</v>
      </c>
      <c r="J204" s="214">
        <v>3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3</v>
      </c>
      <c r="J206" s="214">
        <v>3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3</v>
      </c>
      <c r="J208" s="271">
        <f>J215</f>
        <v>3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42000</v>
      </c>
      <c r="M209" s="154"/>
      <c r="N209" s="154">
        <f>N210+N211+N212</f>
        <v>42000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3">
        <v>3000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3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3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IFERROR(__xludf.DUMMYFUNCTION("IMPORTRANGE(""https://docs.google.com/spreadsheets/d/1QqKyyYR6Q21VydFLVH3TRQUabQu_ym0Zz7PgGX0-kHA/edit?usp=sharing"",""แผน!AN55"")"),3)</f>
        <v>3</v>
      </c>
      <c r="J214" s="214">
        <v>3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IFERROR(__xludf.DUMMYFUNCTION("IMPORTRANGE(""https://docs.google.com/spreadsheets/d/1QqKyyYR6Q21VydFLVH3TRQUabQu_ym0Zz7PgGX0-kHA/edit?usp=sharing"",""แผน!AN55"")"),3)</f>
        <v>3</v>
      </c>
      <c r="J215" s="214">
        <v>3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40000</v>
      </c>
      <c r="J216" s="271">
        <f>J224</f>
        <v>40000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25000</v>
      </c>
      <c r="M217" s="154"/>
      <c r="N217" s="154">
        <f>N218+N219+N220</f>
        <v>25000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3">
        <v>10000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3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IFERROR(__xludf.DUMMYFUNCTION("IMPORTRANGE(""https://docs.google.com/spreadsheets/d/1QqKyyYR6Q21VydFLVH3TRQUabQu_ym0Zz7PgGX0-kHA/edit?usp=sharing"",""แผน!AT55"")"),40000)</f>
        <v>40000</v>
      </c>
      <c r="J223" s="214">
        <v>40000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IFERROR(__xludf.DUMMYFUNCTION("IMPORTRANGE(""https://docs.google.com/spreadsheets/d/1QqKyyYR6Q21VydFLVH3TRQUabQu_ym0Zz7PgGX0-kHA/edit?usp=sharing"",""แผน!AT55"")"),40000)</f>
        <v>40000</v>
      </c>
      <c r="J224" s="214">
        <v>40000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IFERROR(__xludf.DUMMYFUNCTION("IMPORTRANGE(""https://docs.google.com/spreadsheets/d/1QqKyyYR6Q21VydFLVH3TRQUabQu_ym0Zz7PgGX0-kHA/edit?usp=sharing"",""แผน!AS55"")"),10)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60</v>
      </c>
      <c r="J226" s="344">
        <f>J237+J248</f>
        <v>60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368000</v>
      </c>
      <c r="M227" s="355"/>
      <c r="N227" s="355">
        <f>N238+N249</f>
        <v>368000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183000</v>
      </c>
      <c r="M228" s="92"/>
      <c r="N228" s="92">
        <f>N239+N250</f>
        <v>182200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70000</v>
      </c>
      <c r="M229" s="92"/>
      <c r="N229" s="92">
        <f>N240+N251</f>
        <v>70800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95000</v>
      </c>
      <c r="M230" s="92"/>
      <c r="N230" s="92">
        <f>N241+N252</f>
        <v>95000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20000</v>
      </c>
      <c r="M231" s="92"/>
      <c r="N231" s="92">
        <f>N242+N253</f>
        <v>20000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60</v>
      </c>
      <c r="J233" s="612">
        <f>J244+J255</f>
        <v>60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60</v>
      </c>
      <c r="J235" s="612">
        <f>J246+J257</f>
        <v>60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2</v>
      </c>
      <c r="J236" s="612">
        <f>J247+J258</f>
        <v>2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336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239900</v>
      </c>
      <c r="M238" s="154"/>
      <c r="N238" s="154">
        <f>N239+N240+N241+N242</f>
        <v>239900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IFERROR(__xludf.DUMMYFUNCTION("IMPORTRANGE(""https://docs.google.com/spreadsheets/d/1QqKyyYR6Q21VydFLVH3TRQUabQu_ym0Zz7PgGX0-kHA/edit?usp=sharing"",""แผน!AV55"")"),163000)</f>
        <v>163000</v>
      </c>
      <c r="M239" s="282"/>
      <c r="N239" s="862">
        <v>157360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IFERROR(__xludf.DUMMYFUNCTION("IMPORTRANGE(""https://docs.google.com/spreadsheets/d/1QqKyyYR6Q21VydFLVH3TRQUabQu_ym0Zz7PgGX0-kHA/edit?usp=sharing"",""แผน!AW55"")"),31900)</f>
        <v>31900</v>
      </c>
      <c r="M240" s="282"/>
      <c r="N240" s="862">
        <v>37540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IFERROR(__xludf.DUMMYFUNCTION("IMPORTRANGE(""https://docs.google.com/spreadsheets/d/1QqKyyYR6Q21VydFLVH3TRQUabQu_ym0Zz7PgGX0-kHA/edit?usp=sharing"",""แผน!AX55"")"),35000)</f>
        <v>35000</v>
      </c>
      <c r="M241" s="282"/>
      <c r="N241" s="862">
        <v>35000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IFERROR(__xludf.DUMMYFUNCTION("IMPORTRANGE(""https://docs.google.com/spreadsheets/d/1QqKyyYR6Q21VydFLVH3TRQUabQu_ym0Zz7PgGX0-kHA/edit?usp=sharing"",""แผน!AY55"")"),10000)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IFERROR(__xludf.DUMMYFUNCTION("IMPORTRANGE(""https://docs.google.com/spreadsheets/d/1QqKyyYR6Q21VydFLVH3TRQUabQu_ym0Zz7PgGX0-kHA/edit?usp=sharing"",""แผน!BE55"")"),30)</f>
        <v>30</v>
      </c>
      <c r="J244" s="214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>
      <c r="A248" s="255"/>
      <c r="B248" s="263"/>
      <c r="C248" s="270" t="s">
        <v>335</v>
      </c>
      <c r="D248" s="256"/>
      <c r="E248" s="256"/>
      <c r="F248" s="256"/>
      <c r="G248" s="258"/>
      <c r="H248" s="259" t="s">
        <v>35</v>
      </c>
      <c r="I248" s="271">
        <f ca="1">I255</f>
        <v>30</v>
      </c>
      <c r="J248" s="271">
        <f>J255</f>
        <v>30</v>
      </c>
      <c r="K248" s="272">
        <f ca="1">IF(I248&gt;0,J248*100/I248,0)</f>
        <v>100</v>
      </c>
      <c r="L248" s="261"/>
      <c r="M248" s="261"/>
      <c r="N248" s="261"/>
      <c r="O248" s="261"/>
      <c r="P248" s="261"/>
    </row>
    <row r="249" spans="1:26" ht="19.5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128100</v>
      </c>
      <c r="M249" s="154"/>
      <c r="N249" s="154">
        <f>N250+N251+N252+N253</f>
        <v>128100</v>
      </c>
      <c r="O249" s="154">
        <f ca="1">IF(L249&gt;0,N249*100/L249,0)</f>
        <v>100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IFERROR(__xludf.DUMMYFUNCTION("IMPORTRANGE(""https://docs.google.com/spreadsheets/d/1QqKyyYR6Q21VydFLVH3TRQUabQu_ym0Zz7PgGX0-kHA/edit?usp=sharing"",""แผน!AZ55"")"),20000)</f>
        <v>20000</v>
      </c>
      <c r="M250" s="282"/>
      <c r="N250" s="862">
        <v>24840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IFERROR(__xludf.DUMMYFUNCTION("IMPORTRANGE(""https://docs.google.com/spreadsheets/d/1QqKyyYR6Q21VydFLVH3TRQUabQu_ym0Zz7PgGX0-kHA/edit?usp=sharing"",""แผน!BA55"")"),38100)</f>
        <v>38100</v>
      </c>
      <c r="M251" s="282"/>
      <c r="N251" s="862">
        <v>33260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IFERROR(__xludf.DUMMYFUNCTION("IMPORTRANGE(""https://docs.google.com/spreadsheets/d/1QqKyyYR6Q21VydFLVH3TRQUabQu_ym0Zz7PgGX0-kHA/edit?usp=sharing"",""แผน!BB55"")"),60000)</f>
        <v>60000</v>
      </c>
      <c r="M252" s="282"/>
      <c r="N252" s="862">
        <v>60000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IFERROR(__xludf.DUMMYFUNCTION("IMPORTRANGE(""https://docs.google.com/spreadsheets/d/1QqKyyYR6Q21VydFLVH3TRQUabQu_ym0Zz7PgGX0-kHA/edit?usp=sharing"",""แผน!BC55"")"),10000)</f>
        <v>10000</v>
      </c>
      <c r="M253" s="282"/>
      <c r="N253" s="862">
        <v>10000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IFERROR(__xludf.DUMMYFUNCTION("IMPORTRANGE(""https://docs.google.com/spreadsheets/d/1QqKyyYR6Q21VydFLVH3TRQUabQu_ym0Zz7PgGX0-kHA/edit?usp=sharing"",""แผน!BF55"")"),30)</f>
        <v>30</v>
      </c>
      <c r="J255" s="214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>
        <v>30</v>
      </c>
      <c r="J257" s="214">
        <v>30</v>
      </c>
      <c r="K257" s="497">
        <f>IF(I257&gt;0,J257*100/I257,0)</f>
        <v>100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>
        <v>1</v>
      </c>
      <c r="J258" s="214">
        <v>1</v>
      </c>
      <c r="K258" s="497">
        <f>IF(I258&gt;0,J258*100/I258,0)</f>
        <v>100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IFERROR(__xludf.DUMMYFUNCTION("IMPORTRANGE(""https://docs.google.com/spreadsheets/d/1MeEWN-I1oV_STSDYn1IFDPWt_1FKiwhDph83XaGc0o0/edit?usp=sharing"",""งบพรบ!CY55"")"),26900)</f>
        <v>26900</v>
      </c>
      <c r="M266" s="92">
        <f ca="1">IFERROR(__xludf.DUMMYFUNCTION("IMPORTRANGE(""https://docs.google.com/spreadsheets/d/1MeEWN-I1oV_STSDYn1IFDPWt_1FKiwhDph83XaGc0o0/edit?usp=sharing"",""งบพรบ!DD55"")"),26900)</f>
        <v>26900</v>
      </c>
      <c r="N266" s="92">
        <f ca="1">IFERROR(__xludf.DUMMYFUNCTION("IMPORTRANGE(""https://docs.google.com/spreadsheets/d/1MeEWN-I1oV_STSDYn1IFDPWt_1FKiwhDph83XaGc0o0/edit?usp=sharing"",""งบพรบ!DF55"")"),26900)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IFERROR(__xludf.DUMMYFUNCTION("IMPORTRANGE(""https://docs.google.com/spreadsheets/d/1MeEWN-I1oV_STSDYn1IFDPWt_1FKiwhDph83XaGc0o0/edit?usp=sharing"",""งบพรบ!DB55"")"),0)</f>
        <v>0</v>
      </c>
      <c r="M269" s="92">
        <f ca="1">IFERROR(__xludf.DUMMYFUNCTION("IMPORTRANGE(""https://docs.google.com/spreadsheets/d/1MeEWN-I1oV_STSDYn1IFDPWt_1FKiwhDph83XaGc0o0/edit?usp=sharing"",""งบพรบ!DE55"")"),0)</f>
        <v>0</v>
      </c>
      <c r="N269" s="92">
        <f ca="1">IFERROR(__xludf.DUMMYFUNCTION("IMPORTRANGE(""https://docs.google.com/spreadsheets/d/1MeEWN-I1oV_STSDYn1IFDPWt_1FKiwhDph83XaGc0o0/edit?usp=sharing"",""งบพรบ!DG55"")"),0)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IFERROR(__xludf.DUMMYFUNCTION("IMPORTRANGE(""https://docs.google.com/spreadsheets/d/1QqKyyYR6Q21VydFLVH3TRQUabQu_ym0Zz7PgGX0-kHA/edit?usp=sharing"",""แผน!EA55"")"),22)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5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50</v>
      </c>
      <c r="J276" s="860">
        <f>J287</f>
        <v>50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22630</v>
      </c>
      <c r="M277" s="154">
        <f ca="1">M278+M279</f>
        <v>22630</v>
      </c>
      <c r="N277" s="154">
        <f ca="1">N278+N279</f>
        <v>22630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22630</v>
      </c>
      <c r="M279" s="92">
        <f t="shared" ca="1" si="49"/>
        <v>22630</v>
      </c>
      <c r="N279" s="92">
        <f t="shared" ca="1" si="49"/>
        <v>22630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22630</v>
      </c>
      <c r="M280" s="497">
        <f ca="1">M281+M282</f>
        <v>22630</v>
      </c>
      <c r="N280" s="497">
        <f ca="1">N281+N282</f>
        <v>22630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IFERROR(__xludf.DUMMYFUNCTION("IMPORTRANGE(""https://docs.google.com/spreadsheets/d/1MeEWN-I1oV_STSDYn1IFDPWt_1FKiwhDph83XaGc0o0/edit?usp=sharing"",""งบพรบ!DI55"")"),22630)</f>
        <v>22630</v>
      </c>
      <c r="M282" s="92">
        <f ca="1">IFERROR(__xludf.DUMMYFUNCTION("IMPORTRANGE(""https://docs.google.com/spreadsheets/d/1MeEWN-I1oV_STSDYn1IFDPWt_1FKiwhDph83XaGc0o0/edit?usp=sharing"",""งบพรบ!DN55"")"),22630)</f>
        <v>22630</v>
      </c>
      <c r="N282" s="92">
        <f ca="1">IFERROR(__xludf.DUMMYFUNCTION("IMPORTRANGE(""https://docs.google.com/spreadsheets/d/1MeEWN-I1oV_STSDYn1IFDPWt_1FKiwhDph83XaGc0o0/edit?usp=sharing"",""งบพรบ!DP55"")"),22630)</f>
        <v>22630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IFERROR(__xludf.DUMMYFUNCTION("IMPORTRANGE(""https://docs.google.com/spreadsheets/d/1MeEWN-I1oV_STSDYn1IFDPWt_1FKiwhDph83XaGc0o0/edit?usp=sharing"",""งบพรบ!DL55"")"),0)</f>
        <v>0</v>
      </c>
      <c r="M285" s="92">
        <f ca="1">IFERROR(__xludf.DUMMYFUNCTION("IMPORTRANGE(""https://docs.google.com/spreadsheets/d/1MeEWN-I1oV_STSDYn1IFDPWt_1FKiwhDph83XaGc0o0/edit?usp=sharing"",""งบพรบ!DO55"")"),0)</f>
        <v>0</v>
      </c>
      <c r="N285" s="92">
        <f ca="1">IFERROR(__xludf.DUMMYFUNCTION("IMPORTRANGE(""https://docs.google.com/spreadsheets/d/1MeEWN-I1oV_STSDYn1IFDPWt_1FKiwhDph83XaGc0o0/edit?usp=sharing"",""งบพรบ!DQ55"")"),0)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IFERROR(__xludf.DUMMYFUNCTION("IMPORTRANGE(""https://docs.google.com/spreadsheets/d/1QqKyyYR6Q21VydFLVH3TRQUabQu_ym0Zz7PgGX0-kHA/edit?usp=sharing"",""แผน!EC55"")"),50)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IFERROR(__xludf.DUMMYFUNCTION("IMPORTRANGE(""https://docs.google.com/spreadsheets/d/1QqKyyYR6Q21VydFLVH3TRQUabQu_ym0Zz7PgGX0-kHA/edit?usp=sharing"",""แผน!EB55"")"),5)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IFERROR(__xludf.DUMMYFUNCTION("IMPORTRANGE(""https://docs.google.com/spreadsheets/d/1QqKyyYR6Q21VydFLVH3TRQUabQu_ym0Zz7PgGX0-kHA/edit?usp=sharing"",""แผน!EB55"")"),5)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IFERROR(__xludf.DUMMYFUNCTION("IMPORTRANGE(""https://docs.google.com/spreadsheets/d/1QqKyyYR6Q21VydFLVH3TRQUabQu_ym0Zz7PgGX0-kHA/edit?usp=sharing"",""แผน!EB55"")"),5)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IFERROR(__xludf.DUMMYFUNCTION("IMPORTRANGE(""https://docs.google.com/spreadsheets/d/1QqKyyYR6Q21VydFLVH3TRQUabQu_ym0Zz7PgGX0-kHA/edit?usp=sharing"",""แผน!EB55"")"),5)</f>
        <v>5</v>
      </c>
      <c r="J294" s="423">
        <v>5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20</v>
      </c>
      <c r="J297" s="443">
        <f>J309</f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225400</v>
      </c>
      <c r="M298" s="154">
        <f ca="1">M299+M300</f>
        <v>225400</v>
      </c>
      <c r="N298" s="154">
        <f ca="1">N299+N300</f>
        <v>225400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225400</v>
      </c>
      <c r="M300" s="92">
        <f t="shared" ca="1" si="52"/>
        <v>225400</v>
      </c>
      <c r="N300" s="92">
        <f t="shared" ca="1" si="52"/>
        <v>225400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225400</v>
      </c>
      <c r="M301" s="497">
        <f ca="1">M302+M303</f>
        <v>225400</v>
      </c>
      <c r="N301" s="497">
        <f ca="1">N302+N303</f>
        <v>225400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IFERROR(__xludf.DUMMYFUNCTION("IMPORTRANGE(""https://docs.google.com/spreadsheets/d/1MeEWN-I1oV_STSDYn1IFDPWt_1FKiwhDph83XaGc0o0/edit?usp=sharing"",""งบพรบ!DS55"")"),225400)</f>
        <v>225400</v>
      </c>
      <c r="M303" s="92">
        <f ca="1">IFERROR(__xludf.DUMMYFUNCTION("IMPORTRANGE(""https://docs.google.com/spreadsheets/d/1MeEWN-I1oV_STSDYn1IFDPWt_1FKiwhDph83XaGc0o0/edit?usp=sharing"",""งบพรบ!DX55"")"),225400)</f>
        <v>225400</v>
      </c>
      <c r="N303" s="92">
        <f ca="1">IFERROR(__xludf.DUMMYFUNCTION("IMPORTRANGE(""https://docs.google.com/spreadsheets/d/1MeEWN-I1oV_STSDYn1IFDPWt_1FKiwhDph83XaGc0o0/edit?usp=sharing"",""งบพรบ!DZ55"")"),225400)</f>
        <v>225400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IFERROR(__xludf.DUMMYFUNCTION("IMPORTRANGE(""https://docs.google.com/spreadsheets/d/1MeEWN-I1oV_STSDYn1IFDPWt_1FKiwhDph83XaGc0o0/edit?usp=sharing"",""งบพรบ!DV55"")"),0)</f>
        <v>0</v>
      </c>
      <c r="M306" s="92">
        <f ca="1">IFERROR(__xludf.DUMMYFUNCTION("IMPORTRANGE(""https://docs.google.com/spreadsheets/d/1MeEWN-I1oV_STSDYn1IFDPWt_1FKiwhDph83XaGc0o0/edit?usp=sharing"",""งบพรบ!DY55"")"),0)</f>
        <v>0</v>
      </c>
      <c r="N306" s="92">
        <f ca="1">IFERROR(__xludf.DUMMYFUNCTION("IMPORTRANGE(""https://docs.google.com/spreadsheets/d/1MeEWN-I1oV_STSDYn1IFDPWt_1FKiwhDph83XaGc0o0/edit?usp=sharing"",""งบพรบ!EA55"")"),0)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IFERROR(__xludf.DUMMYFUNCTION("IMPORTRANGE(""https://docs.google.com/spreadsheets/d/1QqKyyYR6Q21VydFLVH3TRQUabQu_ym0Zz7PgGX0-kHA/edit?usp=sharing"",""แผน!ED55"")"),20)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IFERROR(__xludf.DUMMYFUNCTION("IMPORTRANGE(""https://docs.google.com/spreadsheets/d/1QqKyyYR6Q21VydFLVH3TRQUabQu_ym0Zz7PgGX0-kHA/edit?usp=sharing"",""แผน!ED55"")"),20)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IFERROR(__xludf.DUMMYFUNCTION("IMPORTRANGE(""https://docs.google.com/spreadsheets/d/1QqKyyYR6Q21VydFLVH3TRQUabQu_ym0Zz7PgGX0-kHA/edit?usp=sharing"",""แผน!ED55"")"),20)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IFERROR(__xludf.DUMMYFUNCTION("IMPORTRANGE(""https://docs.google.com/spreadsheets/d/1QqKyyYR6Q21VydFLVH3TRQUabQu_ym0Zz7PgGX0-kHA/edit?usp=sharing"",""แผน!EE55"")"),4)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IFERROR(__xludf.DUMMYFUNCTION("IMPORTRANGE(""https://docs.google.com/spreadsheets/d/1MeEWN-I1oV_STSDYn1IFDPWt_1FKiwhDph83XaGc0o0/edit?usp=sharing"",""งบพรบ!EC55"")"),0)</f>
        <v>0</v>
      </c>
      <c r="M320" s="92">
        <f ca="1">IFERROR(__xludf.DUMMYFUNCTION("IMPORTRANGE(""https://docs.google.com/spreadsheets/d/1MeEWN-I1oV_STSDYn1IFDPWt_1FKiwhDph83XaGc0o0/edit?usp=sharing"",""งบพรบ!EH55"")"),0)</f>
        <v>0</v>
      </c>
      <c r="N320" s="92">
        <f ca="1">IFERROR(__xludf.DUMMYFUNCTION("IMPORTRANGE(""https://docs.google.com/spreadsheets/d/1MeEWN-I1oV_STSDYn1IFDPWt_1FKiwhDph83XaGc0o0/edit?usp=sharing"",""งบพรบ!EJ55"")"),0)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IFERROR(__xludf.DUMMYFUNCTION("IMPORTRANGE(""https://docs.google.com/spreadsheets/d/1MeEWN-I1oV_STSDYn1IFDPWt_1FKiwhDph83XaGc0o0/edit?usp=sharing"",""งบพรบ!EF55"")"),0)</f>
        <v>0</v>
      </c>
      <c r="M323" s="92">
        <f ca="1">IFERROR(__xludf.DUMMYFUNCTION("IMPORTRANGE(""https://docs.google.com/spreadsheets/d/1MeEWN-I1oV_STSDYn1IFDPWt_1FKiwhDph83XaGc0o0/edit?usp=sharing"",""งบพรบ!EI55"")"),0)</f>
        <v>0</v>
      </c>
      <c r="N323" s="92">
        <f ca="1">IFERROR(__xludf.DUMMYFUNCTION("IMPORTRANGE(""https://docs.google.com/spreadsheets/d/1MeEWN-I1oV_STSDYn1IFDPWt_1FKiwhDph83XaGc0o0/edit?usp=sharing"",""งบพรบ!EK55"")"),0)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IFERROR(__xludf.DUMMYFUNCTION("IMPORTRANGE(""https://docs.google.com/spreadsheets/d/1QqKyyYR6Q21VydFLVH3TRQUabQu_ym0Zz7PgGX0-kHA/edit?usp=sharing"",""แผน!EF55"")"),0)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IFERROR(__xludf.DUMMYFUNCTION("IMPORTRANGE(""https://docs.google.com/spreadsheets/d/1QqKyyYR6Q21VydFLVH3TRQUabQu_ym0Zz7PgGX0-kHA/edit?usp=sharing"",""แผน!EG55"")"),4300)</f>
        <v>4300</v>
      </c>
      <c r="J327" s="443">
        <f ca="1">J338+J341+J342+J343</f>
        <v>10496</v>
      </c>
      <c r="K327" s="444">
        <f ca="1">IF(I327&gt;0,J327*100/I327,0)</f>
        <v>244.09302325581396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1139000</v>
      </c>
      <c r="M328" s="154">
        <f ca="1">M329+M330</f>
        <v>1074500</v>
      </c>
      <c r="N328" s="154">
        <f ca="1">N329+N330</f>
        <v>1074500</v>
      </c>
      <c r="O328" s="154">
        <f t="shared" ref="O328:O336" ca="1" si="56">IF(L328&gt;0,N328*100/L328,0)</f>
        <v>94.337137840210715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1139000</v>
      </c>
      <c r="M330" s="92">
        <f t="shared" ca="1" si="58"/>
        <v>1074500</v>
      </c>
      <c r="N330" s="92">
        <f t="shared" ca="1" si="58"/>
        <v>1074500</v>
      </c>
      <c r="O330" s="92">
        <f t="shared" ca="1" si="56"/>
        <v>94.337137840210715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177000</v>
      </c>
      <c r="M331" s="497">
        <f ca="1">M332+M333</f>
        <v>179500</v>
      </c>
      <c r="N331" s="497">
        <f ca="1">N332+N333</f>
        <v>179500</v>
      </c>
      <c r="O331" s="497">
        <f t="shared" ca="1" si="56"/>
        <v>101.41242937853107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IFERROR(__xludf.DUMMYFUNCTION("IMPORTRANGE(""https://docs.google.com/spreadsheets/d/1MeEWN-I1oV_STSDYn1IFDPWt_1FKiwhDph83XaGc0o0/edit?usp=sharing"",""งบพรบ!EM55"")"),177000)</f>
        <v>177000</v>
      </c>
      <c r="M333" s="92">
        <f ca="1">IFERROR(__xludf.DUMMYFUNCTION("IMPORTRANGE(""https://docs.google.com/spreadsheets/d/1MeEWN-I1oV_STSDYn1IFDPWt_1FKiwhDph83XaGc0o0/edit?usp=sharing"",""งบพรบ!ER55"")"),179500)</f>
        <v>179500</v>
      </c>
      <c r="N333" s="92">
        <f ca="1">IFERROR(__xludf.DUMMYFUNCTION("IMPORTRANGE(""https://docs.google.com/spreadsheets/d/1MeEWN-I1oV_STSDYn1IFDPWt_1FKiwhDph83XaGc0o0/edit?usp=sharing"",""งบพรบ!ET55"")"),179500)</f>
        <v>179500</v>
      </c>
      <c r="O333" s="92">
        <f t="shared" ca="1" si="56"/>
        <v>101.41242937853107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962000</v>
      </c>
      <c r="M334" s="497">
        <f ca="1">M335+M336</f>
        <v>895000</v>
      </c>
      <c r="N334" s="497">
        <f ca="1">N335+N336</f>
        <v>895000</v>
      </c>
      <c r="O334" s="497">
        <f t="shared" ca="1" si="56"/>
        <v>93.035343035343033</v>
      </c>
      <c r="P334" s="497">
        <f t="shared" ca="1" si="57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IFERROR(__xludf.DUMMYFUNCTION("IMPORTRANGE(""https://docs.google.com/spreadsheets/d/1MeEWN-I1oV_STSDYn1IFDPWt_1FKiwhDph83XaGc0o0/edit?usp=sharing"",""งบพรบ!EP55"")"),962000)</f>
        <v>962000</v>
      </c>
      <c r="M336" s="92">
        <f ca="1">IFERROR(__xludf.DUMMYFUNCTION("IMPORTRANGE(""https://docs.google.com/spreadsheets/d/1MeEWN-I1oV_STSDYn1IFDPWt_1FKiwhDph83XaGc0o0/edit?usp=sharing"",""งบพรบ!ES55"")"),895000)</f>
        <v>895000</v>
      </c>
      <c r="N336" s="92">
        <f ca="1">IFERROR(__xludf.DUMMYFUNCTION("IMPORTRANGE(""https://docs.google.com/spreadsheets/d/1MeEWN-I1oV_STSDYn1IFDPWt_1FKiwhDph83XaGc0o0/edit?usp=sharing"",""งบพรบ!EU55"")"),895000)</f>
        <v>895000</v>
      </c>
      <c r="O336" s="92">
        <f t="shared" ca="1" si="56"/>
        <v>93.035343035343033</v>
      </c>
      <c r="P336" s="92">
        <f t="shared" ca="1" si="57"/>
        <v>100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IFERROR(__xludf.DUMMYFUNCTION("IMPORTRANGE(""https://docs.google.com/spreadsheets/d/1QqKyyYR6Q21VydFLVH3TRQUabQu_ym0Zz7PgGX0-kHA/edit?usp=sharing"",""แผน!EG55"")"),4300)</f>
        <v>4300</v>
      </c>
      <c r="J338" s="269">
        <f ca="1">IFERROR(__xludf.DUMMYFUNCTION("IMPORTRANGE(""https://docs.google.com/spreadsheets/d/1kVcqe37tkHyjCSG3S0O1AXqVkqjo8mSIZil3BcpIysc/edit?usp=sharing"",""ศูนย์!D55"")"),9529)</f>
        <v>9529</v>
      </c>
      <c r="K338" s="497">
        <f ca="1">IF(I338&gt;0,J338*100/I338,0)</f>
        <v>221.6046511627907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IFERROR(__xludf.DUMMYFUNCTION("IMPORTRANGE(""https://docs.google.com/spreadsheets/d/1QqKyyYR6Q21VydFLVH3TRQUabQu_ym0Zz7PgGX0-kHA/edit?usp=sharing"",""แผน!EH55"")"),7)</f>
        <v>7</v>
      </c>
      <c r="J340" s="269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IFERROR(__xludf.DUMMYFUNCTION("IMPORTRANGE(""https://docs.google.com/spreadsheets/d/1kVcqe37tkHyjCSG3S0O1AXqVkqjo8mSIZil3BcpIysc/edit?usp=sharing"",""ศูนย์!G55"")"),21)</f>
        <v>21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1441070</v>
      </c>
      <c r="M345" s="154">
        <f ca="1">M346+M347</f>
        <v>1614150</v>
      </c>
      <c r="N345" s="154">
        <f ca="1">N346+N347</f>
        <v>1614150</v>
      </c>
      <c r="O345" s="154">
        <f t="shared" ref="O345:O353" ca="1" si="59">IF(L345&gt;0,N345*100/L345,0)</f>
        <v>112.01051996086241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1441070</v>
      </c>
      <c r="M347" s="92">
        <f t="shared" ca="1" si="61"/>
        <v>1614150</v>
      </c>
      <c r="N347" s="92">
        <f t="shared" ca="1" si="61"/>
        <v>1614150</v>
      </c>
      <c r="O347" s="92">
        <f t="shared" ca="1" si="59"/>
        <v>112.01051996086241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1201270</v>
      </c>
      <c r="M348" s="497">
        <f ca="1">M349+M350</f>
        <v>1374350</v>
      </c>
      <c r="N348" s="497">
        <f ca="1">N349+N350</f>
        <v>1374350</v>
      </c>
      <c r="O348" s="497">
        <f t="shared" ca="1" si="59"/>
        <v>114.40808477694441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IFERROR(__xludf.DUMMYFUNCTION("IMPORTRANGE(""https://docs.google.com/spreadsheets/d/1MeEWN-I1oV_STSDYn1IFDPWt_1FKiwhDph83XaGc0o0/edit?usp=sharing"",""งบพรบ!EW55"")"),1201270)</f>
        <v>1201270</v>
      </c>
      <c r="M350" s="92">
        <f ca="1">IFERROR(__xludf.DUMMYFUNCTION("IMPORTRANGE(""https://docs.google.com/spreadsheets/d/1MeEWN-I1oV_STSDYn1IFDPWt_1FKiwhDph83XaGc0o0/edit?usp=sharing"",""งบพรบ!FB55"")"),1374350)</f>
        <v>1374350</v>
      </c>
      <c r="N350" s="92">
        <f ca="1">IFERROR(__xludf.DUMMYFUNCTION("IMPORTRANGE(""https://docs.google.com/spreadsheets/d/1MeEWN-I1oV_STSDYn1IFDPWt_1FKiwhDph83XaGc0o0/edit?usp=sharing"",""งบพรบ!FD55"")"),1374350)</f>
        <v>1374350</v>
      </c>
      <c r="O350" s="92">
        <f t="shared" ca="1" si="59"/>
        <v>114.40808477694441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239800</v>
      </c>
      <c r="M351" s="497">
        <f ca="1">M352+M353</f>
        <v>239800</v>
      </c>
      <c r="N351" s="497">
        <f ca="1">N352+N353</f>
        <v>239800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IFERROR(__xludf.DUMMYFUNCTION("IMPORTRANGE(""https://docs.google.com/spreadsheets/d/1MeEWN-I1oV_STSDYn1IFDPWt_1FKiwhDph83XaGc0o0/edit?usp=sharing"",""งบพรบ!EZ55"")"),239800)</f>
        <v>239800</v>
      </c>
      <c r="M353" s="92">
        <f ca="1">IFERROR(__xludf.DUMMYFUNCTION("IMPORTRANGE(""https://docs.google.com/spreadsheets/d/1MeEWN-I1oV_STSDYn1IFDPWt_1FKiwhDph83XaGc0o0/edit?usp=sharing"",""งบพรบ!FC55"")"),239800)</f>
        <v>239800</v>
      </c>
      <c r="N353" s="92">
        <f ca="1">IFERROR(__xludf.DUMMYFUNCTION("IMPORTRANGE(""https://docs.google.com/spreadsheets/d/1MeEWN-I1oV_STSDYn1IFDPWt_1FKiwhDph83XaGc0o0/edit?usp=sharing"",""งบพรบ!FE55"")"),239800)</f>
        <v>239800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421</v>
      </c>
      <c r="K355" s="465">
        <f ca="1">IF(I355&gt;0,J355*100/I355,0)</f>
        <v>76.545454545454547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IFERROR(__xludf.DUMMYFUNCTION("IMPORTRANGE(""https://docs.google.com/spreadsheets/d/1XWAQStnk-4SwqDmLtmXYiTMKHgktTP8We1SCoS47DrQ/edit?usp=sharing"",""จัดที่ดิน!W55"")"),608)</f>
        <v>608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IFERROR(__xludf.DUMMYFUNCTION("IMPORTRANGE(""https://docs.google.com/spreadsheets/d/1QqKyyYR6Q21VydFLVH3TRQUabQu_ym0Zz7PgGX0-kHA/edit?usp=sharing"",""แผน!EO55"")"),5500)</f>
        <v>5500</v>
      </c>
      <c r="J359" s="269">
        <f ca="1">IFERROR(__xludf.DUMMYFUNCTION("IMPORTRANGE(""https://docs.google.com/spreadsheets/d/1XWAQStnk-4SwqDmLtmXYiTMKHgktTP8We1SCoS47DrQ/edit?usp=sharing"",""จัดที่ดิน!X55"")"),8663.36)</f>
        <v>8663.36</v>
      </c>
      <c r="K359" s="497">
        <f t="shared" ca="1" si="62"/>
        <v>157.51563636363636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IFERROR(__xludf.DUMMYFUNCTION("IMPORTRANGE(""https://docs.google.com/spreadsheets/d/1QqKyyYR6Q21VydFLVH3TRQUabQu_ym0Zz7PgGX0-kHA/edit?usp=sharing"",""แผน!EP55"")"),550)</f>
        <v>550</v>
      </c>
      <c r="J360" s="269">
        <f ca="1">IFERROR(__xludf.DUMMYFUNCTION("IMPORTRANGE(""https://docs.google.com/spreadsheets/d/1XWAQStnk-4SwqDmLtmXYiTMKHgktTP8We1SCoS47DrQ/edit?usp=sharing"",""จัดที่ดิน!Y55"")"),470)</f>
        <v>470</v>
      </c>
      <c r="K360" s="497">
        <f t="shared" ca="1" si="62"/>
        <v>85.454545454545453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IFERROR(__xludf.DUMMYFUNCTION("IMPORTRANGE(""https://docs.google.com/spreadsheets/d/1XWAQStnk-4SwqDmLtmXYiTMKHgktTP8We1SCoS47DrQ/edit?usp=sharing"",""จัดที่ดิน!Z55"")"),6646)</f>
        <v>6646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IFERROR(__xludf.DUMMYFUNCTION("IMPORTRANGE(""https://docs.google.com/spreadsheets/d/1QqKyyYR6Q21VydFLVH3TRQUabQu_ym0Zz7PgGX0-kHA/edit?usp=sharing"",""แผน!EP55"")"),550)</f>
        <v>550</v>
      </c>
      <c r="J362" s="269">
        <f ca="1">IFERROR(__xludf.DUMMYFUNCTION("IMPORTRANGE(""https://docs.google.com/spreadsheets/d/1XWAQStnk-4SwqDmLtmXYiTMKHgktTP8We1SCoS47DrQ/edit?usp=sharing"",""จัดที่ดิน!AA55"")"),421)</f>
        <v>421</v>
      </c>
      <c r="K362" s="497">
        <f t="shared" ca="1" si="62"/>
        <v>76.545454545454547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IFERROR(__xludf.DUMMYFUNCTION("IMPORTRANGE(""https://docs.google.com/spreadsheets/d/1XWAQStnk-4SwqDmLtmXYiTMKHgktTP8We1SCoS47DrQ/edit?usp=sharing"",""จัดที่ดิน!AB55"")"),6044.13)</f>
        <v>6044.13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950</v>
      </c>
      <c r="J364" s="478">
        <f ca="1">J365+J374</f>
        <v>956</v>
      </c>
      <c r="K364" s="479">
        <f t="shared" ca="1" si="62"/>
        <v>100.63157894736842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220</v>
      </c>
      <c r="K365" s="491">
        <f t="shared" ca="1" si="62"/>
        <v>110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IFERROR(__xludf.DUMMYFUNCTION("IMPORTRANGE(""https://docs.google.com/spreadsheets/d/1XWAQStnk-4SwqDmLtmXYiTMKHgktTP8We1SCoS47DrQ/edit?usp=sharing"",""จัดที่ดิน!E55"")"),323)</f>
        <v>323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IFERROR(__xludf.DUMMYFUNCTION("IMPORTRANGE(""https://docs.google.com/spreadsheets/d/1QqKyyYR6Q21VydFLVH3TRQUabQu_ym0Zz7PgGX0-kHA/edit?usp=sharing"",""แผน!EI55"")"),2000)</f>
        <v>2000</v>
      </c>
      <c r="J369" s="269">
        <f ca="1">IFERROR(__xludf.DUMMYFUNCTION("IMPORTRANGE(""https://docs.google.com/spreadsheets/d/1XWAQStnk-4SwqDmLtmXYiTMKHgktTP8We1SCoS47DrQ/edit?usp=sharing"",""จัดที่ดิน!F55"")"),5568.74)</f>
        <v>5568.74</v>
      </c>
      <c r="K369" s="497">
        <f t="shared" ca="1" si="63"/>
        <v>278.43700000000001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IFERROR(__xludf.DUMMYFUNCTION("IMPORTRANGE(""https://docs.google.com/spreadsheets/d/1QqKyyYR6Q21VydFLVH3TRQUabQu_ym0Zz7PgGX0-kHA/edit?usp=sharing"",""แผน!EJ55"")"),200)</f>
        <v>200</v>
      </c>
      <c r="J370" s="269">
        <f ca="1">IFERROR(__xludf.DUMMYFUNCTION("IMPORTRANGE(""https://docs.google.com/spreadsheets/d/1XWAQStnk-4SwqDmLtmXYiTMKHgktTP8We1SCoS47DrQ/edit?usp=sharing"",""จัดที่ดิน!G55"")"),225)</f>
        <v>225</v>
      </c>
      <c r="K370" s="497">
        <f t="shared" ca="1" si="63"/>
        <v>112.5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IFERROR(__xludf.DUMMYFUNCTION("IMPORTRANGE(""https://docs.google.com/spreadsheets/d/1XWAQStnk-4SwqDmLtmXYiTMKHgktTP8We1SCoS47DrQ/edit?usp=sharing"",""จัดที่ดิน!H55"")"),4044.55)</f>
        <v>4044.55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IFERROR(__xludf.DUMMYFUNCTION("IMPORTRANGE(""https://docs.google.com/spreadsheets/d/1QqKyyYR6Q21VydFLVH3TRQUabQu_ym0Zz7PgGX0-kHA/edit?usp=sharing"",""แผน!EJ55"")"),200)</f>
        <v>200</v>
      </c>
      <c r="J372" s="269">
        <f ca="1">IFERROR(__xludf.DUMMYFUNCTION("IMPORTRANGE(""https://docs.google.com/spreadsheets/d/1XWAQStnk-4SwqDmLtmXYiTMKHgktTP8We1SCoS47DrQ/edit?usp=sharing"",""จัดที่ดิน!I55"")"),220)</f>
        <v>220</v>
      </c>
      <c r="K372" s="497">
        <f t="shared" ca="1" si="63"/>
        <v>110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IFERROR(__xludf.DUMMYFUNCTION("IMPORTRANGE(""https://docs.google.com/spreadsheets/d/1XWAQStnk-4SwqDmLtmXYiTMKHgktTP8We1SCoS47DrQ/edit?usp=sharing"",""จัดที่ดิน!J55"")"),3885.32)</f>
        <v>3885.32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736</v>
      </c>
      <c r="K374" s="491">
        <f t="shared" ca="1" si="63"/>
        <v>98.13333333333334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IFERROR(__xludf.DUMMYFUNCTION("IMPORTRANGE(""https://docs.google.com/spreadsheets/d/1XWAQStnk-4SwqDmLtmXYiTMKHgktTP8We1SCoS47DrQ/edit?usp=sharing"",""จัดที่ดิน!AH55"")"),285)</f>
        <v>285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IFERROR(__xludf.DUMMYFUNCTION("IMPORTRANGE(""https://docs.google.com/spreadsheets/d/1QqKyyYR6Q21VydFLVH3TRQUabQu_ym0Zz7PgGX0-kHA/edit?usp=sharing"",""แผน!ET55"")"),3500)</f>
        <v>3500</v>
      </c>
      <c r="J378" s="269">
        <f ca="1">IFERROR(__xludf.DUMMYFUNCTION("IMPORTRANGE(""https://docs.google.com/spreadsheets/d/1XWAQStnk-4SwqDmLtmXYiTMKHgktTP8We1SCoS47DrQ/edit?usp=sharing"",""จัดที่ดิน!AI55"")"),3094.62)</f>
        <v>3094.62</v>
      </c>
      <c r="K378" s="497">
        <f t="shared" ca="1" si="64"/>
        <v>88.417714285714283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IFERROR(__xludf.DUMMYFUNCTION("IMPORTRANGE(""https://docs.google.com/spreadsheets/d/1QqKyyYR6Q21VydFLVH3TRQUabQu_ym0Zz7PgGX0-kHA/edit?usp=sharing"",""แผน!EU55"")"),750)</f>
        <v>750</v>
      </c>
      <c r="J379" s="269">
        <f ca="1">IFERROR(__xludf.DUMMYFUNCTION("IMPORTRANGE(""https://docs.google.com/spreadsheets/d/1XWAQStnk-4SwqDmLtmXYiTMKHgktTP8We1SCoS47DrQ/edit?usp=sharing"",""จัดที่ดิน!AJ55"")"),780)</f>
        <v>780</v>
      </c>
      <c r="K379" s="497">
        <f t="shared" ca="1" si="64"/>
        <v>104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IFERROR(__xludf.DUMMYFUNCTION("IMPORTRANGE(""https://docs.google.com/spreadsheets/d/1XWAQStnk-4SwqDmLtmXYiTMKHgktTP8We1SCoS47DrQ/edit?usp=sharing"",""จัดที่ดิน!AK55"")"),12236.8699999999)</f>
        <v>12236.869999999901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IFERROR(__xludf.DUMMYFUNCTION("IMPORTRANGE(""https://docs.google.com/spreadsheets/d/1QqKyyYR6Q21VydFLVH3TRQUabQu_ym0Zz7PgGX0-kHA/edit?usp=sharing"",""แผน!EU55"")"),750)</f>
        <v>750</v>
      </c>
      <c r="J381" s="269">
        <f ca="1">IFERROR(__xludf.DUMMYFUNCTION("IMPORTRANGE(""https://docs.google.com/spreadsheets/d/1XWAQStnk-4SwqDmLtmXYiTMKHgktTP8We1SCoS47DrQ/edit?usp=sharing"",""จัดที่ดิน!AL55"")"),736)</f>
        <v>736</v>
      </c>
      <c r="K381" s="497">
        <f t="shared" ca="1" si="64"/>
        <v>98.13333333333334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IFERROR(__xludf.DUMMYFUNCTION("IMPORTRANGE(""https://docs.google.com/spreadsheets/d/1XWAQStnk-4SwqDmLtmXYiTMKHgktTP8We1SCoS47DrQ/edit?usp=sharing"",""จัดที่ดิน!AM55"")"),11794.23)</f>
        <v>11794.23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IFERROR(__xludf.DUMMYFUNCTION("IMPORTRANGE(""https://docs.google.com/spreadsheets/d/1MeEWN-I1oV_STSDYn1IFDPWt_1FKiwhDph83XaGc0o0/edit?usp=sharing"",""งบพรบ!FG55"")"),0)</f>
        <v>0</v>
      </c>
      <c r="M394" s="92">
        <f ca="1">IFERROR(__xludf.DUMMYFUNCTION("IMPORTRANGE(""https://docs.google.com/spreadsheets/d/1MeEWN-I1oV_STSDYn1IFDPWt_1FKiwhDph83XaGc0o0/edit?usp=sharing"",""งบพรบ!FL55"")"),0)</f>
        <v>0</v>
      </c>
      <c r="N394" s="92">
        <f ca="1">IFERROR(__xludf.DUMMYFUNCTION("IMPORTRANGE(""https://docs.google.com/spreadsheets/d/1MeEWN-I1oV_STSDYn1IFDPWt_1FKiwhDph83XaGc0o0/edit?usp=sharing"",""งบพรบ!FN55"")"),0)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IFERROR(__xludf.DUMMYFUNCTION("IMPORTRANGE(""https://docs.google.com/spreadsheets/d/1MeEWN-I1oV_STSDYn1IFDPWt_1FKiwhDph83XaGc0o0/edit?usp=sharing"",""งบพรบ!FJ55"")"),0)</f>
        <v>0</v>
      </c>
      <c r="M397" s="92">
        <f ca="1">IFERROR(__xludf.DUMMYFUNCTION("IMPORTRANGE(""https://docs.google.com/spreadsheets/d/1MeEWN-I1oV_STSDYn1IFDPWt_1FKiwhDph83XaGc0o0/edit?usp=sharing"",""งบพรบ!FM55"")"),0)</f>
        <v>0</v>
      </c>
      <c r="N397" s="92">
        <f ca="1">IFERROR(__xludf.DUMMYFUNCTION("IMPORTRANGE(""https://docs.google.com/spreadsheets/d/1MeEWN-I1oV_STSDYn1IFDPWt_1FKiwhDph83XaGc0o0/edit?usp=sharing"",""งบพรบ!FO55"")"),0)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IFERROR(__xludf.DUMMYFUNCTION("IMPORTRANGE(""https://docs.google.com/spreadsheets/d/1MeEWN-I1oV_STSDYn1IFDPWt_1FKiwhDph83XaGc0o0/edit?usp=sharing"",""งบพรบ!FQ55"")"),0)</f>
        <v>0</v>
      </c>
      <c r="M407" s="92">
        <f ca="1">IFERROR(__xludf.DUMMYFUNCTION("IMPORTRANGE(""https://docs.google.com/spreadsheets/d/1MeEWN-I1oV_STSDYn1IFDPWt_1FKiwhDph83XaGc0o0/edit?usp=sharing"",""งบพรบ!FV55"")"),0)</f>
        <v>0</v>
      </c>
      <c r="N407" s="92">
        <f ca="1">IFERROR(__xludf.DUMMYFUNCTION("IMPORTRANGE(""https://docs.google.com/spreadsheets/d/1MeEWN-I1oV_STSDYn1IFDPWt_1FKiwhDph83XaGc0o0/edit?usp=sharing"",""งบพรบ!FX55"")"),0)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IFERROR(__xludf.DUMMYFUNCTION("IMPORTRANGE(""https://docs.google.com/spreadsheets/d/1MeEWN-I1oV_STSDYn1IFDPWt_1FKiwhDph83XaGc0o0/edit?usp=sharing"",""งบพรบ!FT55"")"),0)</f>
        <v>0</v>
      </c>
      <c r="M410" s="92">
        <f ca="1">IFERROR(__xludf.DUMMYFUNCTION("IMPORTRANGE(""https://docs.google.com/spreadsheets/d/1MeEWN-I1oV_STSDYn1IFDPWt_1FKiwhDph83XaGc0o0/edit?usp=sharing"",""งบพรบ!FW55"")"),0)</f>
        <v>0</v>
      </c>
      <c r="N410" s="92">
        <f ca="1">IFERROR(__xludf.DUMMYFUNCTION("IMPORTRANGE(""https://docs.google.com/spreadsheets/d/1MeEWN-I1oV_STSDYn1IFDPWt_1FKiwhDph83XaGc0o0/edit?usp=sharing"",""งบพรบ!FY55"")"),0)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1933828</v>
      </c>
      <c r="M414" s="549">
        <f ca="1">M419+M444+M467+M502+M523+M544+M629+M655+M685+M737+M754+M770+M786+M805</f>
        <v>1664102.9</v>
      </c>
      <c r="N414" s="549">
        <f>N419+N444+N467+N502+N523+N544+N629+N655+N685+N737+N754+N770+N786+N805</f>
        <v>1664102.9029999999</v>
      </c>
      <c r="O414" s="549">
        <f ca="1">IF(L414&gt;0,N414*100/L414,0)</f>
        <v>86.052270574218582</v>
      </c>
      <c r="P414" s="549">
        <f ca="1">IF(M414&gt;0,N414*100/M414,0)</f>
        <v>100.00000018027731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40</v>
      </c>
      <c r="J417" s="565">
        <f ca="1">J433</f>
        <v>40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133680</v>
      </c>
      <c r="M419" s="154">
        <f ca="1">M420+M421</f>
        <v>138680</v>
      </c>
      <c r="N419" s="154">
        <f>N420+N421</f>
        <v>138680</v>
      </c>
      <c r="O419" s="154">
        <f t="shared" ref="O419:O424" ca="1" si="71">IF(L419&gt;0,N419*100/L419,0)</f>
        <v>103.74027528426092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133680</v>
      </c>
      <c r="M421" s="92">
        <f t="shared" ca="1" si="73"/>
        <v>138680</v>
      </c>
      <c r="N421" s="92">
        <f t="shared" si="73"/>
        <v>138680</v>
      </c>
      <c r="O421" s="92">
        <f t="shared" ca="1" si="71"/>
        <v>103.74027528426092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133680</v>
      </c>
      <c r="M422" s="497">
        <f ca="1">M423+M424</f>
        <v>138680</v>
      </c>
      <c r="N422" s="497">
        <f>N423+N424</f>
        <v>138680</v>
      </c>
      <c r="O422" s="497">
        <f t="shared" ca="1" si="71"/>
        <v>103.74027528426092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IFERROR(__xludf.DUMMYFUNCTION("IMPORTRANGE(""https://docs.google.com/spreadsheets/d/1QqKyyYR6Q21VydFLVH3TRQUabQu_ym0Zz7PgGX0-kHA/edit?usp=sharing"",""แผน!EY55"")"),133680)</f>
        <v>133680</v>
      </c>
      <c r="M424" s="92">
        <f ca="1">L424+5000</f>
        <v>138680</v>
      </c>
      <c r="N424" s="92">
        <f>N425+N426+N427+N428</f>
        <v>138680</v>
      </c>
      <c r="O424" s="92">
        <f t="shared" ca="1" si="71"/>
        <v>103.74027528426092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103420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35260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IFERROR(__xludf.DUMMYFUNCTION("IMPORTRANGE(""https://docs.google.com/spreadsheets/d/1QqKyyYR6Q21VydFLVH3TRQUabQu_ym0Zz7PgGX0-kHA/edit?usp=sharing"",""แผน!FB55"")"),0)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IFERROR(__xludf.DUMMYFUNCTION("IMPORTRANGE(""https://docs.google.com/spreadsheets/d/1QqKyyYR6Q21VydFLVH3TRQUabQu_ym0Zz7PgGX0-kHA/edit?usp=sharing"",""แผน!FE55"")"),1)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IFERROR(__xludf.DUMMYFUNCTION("IMPORTRANGE(""https://docs.google.com/spreadsheets/d/1QqKyyYR6Q21VydFLVH3TRQUabQu_ym0Zz7PgGX0-kHA/edit?usp=sharing"",""แผน!FG55"")"),1)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IFERROR(__xludf.DUMMYFUNCTION("IMPORTRANGE(""https://docs.google.com/spreadsheets/d/1QqKyyYR6Q21VydFLVH3TRQUabQu_ym0Zz7PgGX0-kHA/edit?usp=sharing"",""แผน!FH55"")"),0)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55</v>
      </c>
      <c r="J442" s="585">
        <f>J460</f>
        <v>55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55</v>
      </c>
      <c r="J443" s="565">
        <f>J462</f>
        <v>55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331500</v>
      </c>
      <c r="M444" s="194">
        <f ca="1">M445+M446</f>
        <v>337290</v>
      </c>
      <c r="N444" s="194">
        <f>N445+N446</f>
        <v>337290</v>
      </c>
      <c r="O444" s="194">
        <f t="shared" ref="O444:O449" ca="1" si="75">IF(L444&gt;0,N444*100/L444,0)</f>
        <v>101.74660633484163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331500</v>
      </c>
      <c r="M446" s="92">
        <f t="shared" ca="1" si="77"/>
        <v>337290</v>
      </c>
      <c r="N446" s="92">
        <f t="shared" si="77"/>
        <v>337290</v>
      </c>
      <c r="O446" s="92">
        <f t="shared" ca="1" si="75"/>
        <v>101.74660633484163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331500</v>
      </c>
      <c r="M447" s="497">
        <f ca="1">M448+M449</f>
        <v>337290</v>
      </c>
      <c r="N447" s="497">
        <f>N448+N449</f>
        <v>337290</v>
      </c>
      <c r="O447" s="497">
        <f t="shared" ca="1" si="75"/>
        <v>101.74660633484163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IFERROR(__xludf.DUMMYFUNCTION("IMPORTRANGE(""https://docs.google.com/spreadsheets/d/1QqKyyYR6Q21VydFLVH3TRQUabQu_ym0Zz7PgGX0-kHA/edit?usp=sharing"",""แผน!FJ55"")"),331500)</f>
        <v>331500</v>
      </c>
      <c r="M449" s="92">
        <f ca="1">L449+10990-5200</f>
        <v>337290</v>
      </c>
      <c r="N449" s="92">
        <f>N450+N451+N452+N453</f>
        <v>337290</v>
      </c>
      <c r="O449" s="92">
        <f t="shared" ca="1" si="75"/>
        <v>101.74660633484163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78790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143000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51500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IFERROR(__xludf.DUMMYFUNCTION("IMPORTRANGE(""https://docs.google.com/spreadsheets/d/1QqKyyYR6Q21VydFLVH3TRQUabQu_ym0Zz7PgGX0-kHA/edit?usp=sharing"",""แผน!FM55"")"),0)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IFERROR(__xludf.DUMMYFUNCTION("IMPORTRANGE(""https://docs.google.com/spreadsheets/d/1QqKyyYR6Q21VydFLVH3TRQUabQu_ym0Zz7PgGX0-kHA/edit?usp=sharing"",""แผน!FN55"")"),55)</f>
        <v>55</v>
      </c>
      <c r="J460" s="214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IFERROR(__xludf.DUMMYFUNCTION("IMPORTRANGE(""https://docs.google.com/spreadsheets/d/1QqKyyYR6Q21VydFLVH3TRQUabQu_ym0Zz7PgGX0-kHA/edit?usp=sharing"",""แผน!FO55"")"),55)</f>
        <v>55</v>
      </c>
      <c r="J462" s="214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IFERROR(__xludf.DUMMYFUNCTION("IMPORTRANGE(""https://docs.google.com/spreadsheets/d/1QqKyyYR6Q21VydFLVH3TRQUabQu_ym0Zz7PgGX0-kHA/edit?usp=sharing"",""แผน!FO55"")"),55)</f>
        <v>55</v>
      </c>
      <c r="J463" s="214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IFERROR(__xludf.DUMMYFUNCTION("IMPORTRANGE(""https://docs.google.com/spreadsheets/d/1QqKyyYR6Q21VydFLVH3TRQUabQu_ym0Zz7PgGX0-kHA/edit?usp=sharing"",""แผน!FN55"")"),55)</f>
        <v>55</v>
      </c>
      <c r="J464" s="214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1300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1161548</v>
      </c>
      <c r="M467" s="194">
        <f ca="1">M468+M469</f>
        <v>898618.03</v>
      </c>
      <c r="N467" s="194">
        <f>N468+N469</f>
        <v>898618.03</v>
      </c>
      <c r="O467" s="194">
        <f t="shared" ref="O467:O472" ca="1" si="78">IF(L467&gt;0,N467*100/L467,0)</f>
        <v>77.363830853309551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1161548</v>
      </c>
      <c r="M469" s="92">
        <f t="shared" ca="1" si="80"/>
        <v>898618.03</v>
      </c>
      <c r="N469" s="92">
        <f t="shared" si="80"/>
        <v>898618.03</v>
      </c>
      <c r="O469" s="92">
        <f t="shared" ca="1" si="78"/>
        <v>77.363830853309551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1161548</v>
      </c>
      <c r="M470" s="497">
        <f ca="1">M471+M472</f>
        <v>898618.03</v>
      </c>
      <c r="N470" s="497">
        <f>N471+N472</f>
        <v>898618.03</v>
      </c>
      <c r="O470" s="497">
        <f t="shared" ca="1" si="78"/>
        <v>77.363830853309551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IFERROR(__xludf.DUMMYFUNCTION("IMPORTRANGE(""https://docs.google.com/spreadsheets/d/1QqKyyYR6Q21VydFLVH3TRQUabQu_ym0Zz7PgGX0-kHA/edit?usp=sharing"",""แผน!FS55"")"),1161548)</f>
        <v>1161548</v>
      </c>
      <c r="M472" s="92">
        <f ca="1">L472+4870-267799.97</f>
        <v>898618.03</v>
      </c>
      <c r="N472" s="92">
        <f>N473+N474+N475+N476</f>
        <v>898618.03</v>
      </c>
      <c r="O472" s="92">
        <f t="shared" ca="1" si="78"/>
        <v>77.363830853309551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546100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139100.03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23303+14300+3900+18850+5000</f>
        <v>65353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IFERROR(__xludf.DUMMYFUNCTION("IMPORTRANGE(""https://docs.google.com/spreadsheets/d/1QqKyyYR6Q21VydFLVH3TRQUabQu_ym0Zz7PgGX0-kHA/edit?usp=sharing"",""แผน!FV55"")"),0)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IFERROR(__xludf.DUMMYFUNCTION("IMPORTRANGE(""https://docs.google.com/spreadsheets/d/1QqKyyYR6Q21VydFLVH3TRQUabQu_ym0Zz7PgGX0-kHA/edit?usp=sharing"",""แผน!FY55"")"),1170)</f>
        <v>1170</v>
      </c>
      <c r="J483" s="214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IFERROR(__xludf.DUMMYFUNCTION("IMPORTRANGE(""https://docs.google.com/spreadsheets/d/1QqKyyYR6Q21VydFLVH3TRQUabQu_ym0Zz7PgGX0-kHA/edit?usp=sharing"",""แผน!FZ55"")"),117)</f>
        <v>117</v>
      </c>
      <c r="J485" s="214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IFERROR(__xludf.DUMMYFUNCTION("IMPORTRANGE(""https://docs.google.com/spreadsheets/d/1QqKyyYR6Q21VydFLVH3TRQUabQu_ym0Zz7PgGX0-kHA/edit?usp=sharing"",""แผน!GA55"")"),130)</f>
        <v>130</v>
      </c>
      <c r="J487" s="214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IFERROR(__xludf.DUMMYFUNCTION("IMPORTRANGE(""https://docs.google.com/spreadsheets/d/1QqKyyYR6Q21VydFLVH3TRQUabQu_ym0Zz7PgGX0-kHA/edit?usp=sharing"",""แผน!GB55"")"),13)</f>
        <v>13</v>
      </c>
      <c r="J489" s="214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IFERROR(__xludf.DUMMYFUNCTION("IMPORTRANGE(""https://docs.google.com/spreadsheets/d/1QqKyyYR6Q21VydFLVH3TRQUabQu_ym0Zz7PgGX0-kHA/edit?usp=sharing"",""แผน!GC55"")"),1)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IFERROR(__xludf.DUMMYFUNCTION("IMPORTRANGE(""https://docs.google.com/spreadsheets/d/1QqKyyYR6Q21VydFLVH3TRQUabQu_ym0Zz7PgGX0-kHA/edit?usp=sharing"",""แผน!FY55"")"),1170)</f>
        <v>1170</v>
      </c>
      <c r="J495" s="214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1170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IFERROR(__xludf.DUMMYFUNCTION("IMPORTRANGE(""https://docs.google.com/spreadsheets/d/1QqKyyYR6Q21VydFLVH3TRQUabQu_ym0Zz7PgGX0-kHA/edit?usp=sharing"",""แผน!GA55"")"),130)</f>
        <v>130</v>
      </c>
      <c r="J498" s="214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130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IFERROR(__xludf.DUMMYFUNCTION("IMPORTRANGE(""https://docs.google.com/spreadsheets/d/1QqKyyYR6Q21VydFLVH3TRQUabQu_ym0Zz7PgGX0-kHA/edit?usp=sharing"",""แผน!GQ55"")"),0)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IFERROR(__xludf.DUMMYFUNCTION("IMPORTRANGE(""https://docs.google.com/spreadsheets/d/1QqKyyYR6Q21VydFLVH3TRQUabQu_ym0Zz7PgGX0-kHA/edit?usp=sharing"",""แผน!GT55"")"),0)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IFERROR(__xludf.DUMMYFUNCTION("IMPORTRANGE(""https://docs.google.com/spreadsheets/d/1QqKyyYR6Q21VydFLVH3TRQUabQu_ym0Zz7PgGX0-kHA/edit?usp=sharing"",""แผน!GV55"")"),0)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IFERROR(__xludf.DUMMYFUNCTION("IMPORTRANGE(""https://docs.google.com/spreadsheets/d/1QqKyyYR6Q21VydFLVH3TRQUabQu_ym0Zz7PgGX0-kHA/edit?usp=sharing"",""แผน!GW55"")"),0)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IFERROR(__xludf.DUMMYFUNCTION("IMPORTRANGE(""https://docs.google.com/spreadsheets/d/1QqKyyYR6Q21VydFLVH3TRQUabQu_ym0Zz7PgGX0-kHA/edit?usp=sharing"",""แผน!GX55"")"),0)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IFERROR(__xludf.DUMMYFUNCTION("IMPORTRANGE(""https://docs.google.com/spreadsheets/d/1QqKyyYR6Q21VydFLVH3TRQUabQu_ym0Zz7PgGX0-kHA/edit?usp=sharing"",""แผน!GY55"")"),0)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IFERROR(__xludf.DUMMYFUNCTION("IMPORTRANGE(""https://docs.google.com/spreadsheets/d/1QqKyyYR6Q21VydFLVH3TRQUabQu_ym0Zz7PgGX0-kHA/edit?usp=sharing"",""แผน!GZ55"")"),0)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261500</v>
      </c>
      <c r="M544" s="154">
        <f ca="1">M545+M546</f>
        <v>260874.87</v>
      </c>
      <c r="N544" s="154">
        <f>N545+N546</f>
        <v>260874.87299999999</v>
      </c>
      <c r="O544" s="154">
        <f t="shared" ref="O544:O549" ca="1" si="88">IF(L544&gt;0,N544*100/L544,0)</f>
        <v>99.760945697896759</v>
      </c>
      <c r="P544" s="154">
        <f t="shared" ref="P544:P549" ca="1" si="89">IF(M544&gt;0,N544*100/M544,0)</f>
        <v>100.00000114997663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261500</v>
      </c>
      <c r="M546" s="92">
        <f ca="1">M549+M556</f>
        <v>260874.87</v>
      </c>
      <c r="N546" s="92">
        <f>N549+N556</f>
        <v>260874.87299999999</v>
      </c>
      <c r="O546" s="92">
        <f t="shared" ca="1" si="88"/>
        <v>99.760945697896759</v>
      </c>
      <c r="P546" s="92">
        <f t="shared" ca="1" si="89"/>
        <v>100.00000114997663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261500</v>
      </c>
      <c r="M547" s="497">
        <f ca="1">M548+M549</f>
        <v>260874.87</v>
      </c>
      <c r="N547" s="497">
        <f>N548+N549</f>
        <v>260874.87299999999</v>
      </c>
      <c r="O547" s="497">
        <f t="shared" ca="1" si="88"/>
        <v>99.760945697896759</v>
      </c>
      <c r="P547" s="497">
        <f t="shared" ca="1" si="89"/>
        <v>100.00000114997663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IFERROR(__xludf.DUMMYFUNCTION("IMPORTRANGE(""https://docs.google.com/spreadsheets/d/1QqKyyYR6Q21VydFLVH3TRQUabQu_ym0Zz7PgGX0-kHA/edit?usp=sharing"",""แผน!HB55"")"),261500)</f>
        <v>261500</v>
      </c>
      <c r="M549" s="92">
        <f ca="1">L549-625.13</f>
        <v>260874.87</v>
      </c>
      <c r="N549" s="92">
        <f>N550+N551+N552+N553+N554</f>
        <v>260874.87299999999</v>
      </c>
      <c r="O549" s="92">
        <f t="shared" ca="1" si="88"/>
        <v>99.760945697896759</v>
      </c>
      <c r="P549" s="92">
        <f t="shared" ca="1" si="89"/>
        <v>100.00000114997663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142566.573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247874.87-129566.57</f>
        <v>118308.29999999999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IFERROR(__xludf.DUMMYFUNCTION("IMPORTRANGE(""https://docs.google.com/spreadsheets/d/1QqKyyYR6Q21VydFLVH3TRQUabQu_ym0Zz7PgGX0-kHA/edit?usp=sharing"",""แผน!HF55"")"),0)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IFERROR(__xludf.DUMMYFUNCTION("IMPORTRANGE(""https://docs.google.com/spreadsheets/d/1QqKyyYR6Q21VydFLVH3TRQUabQu_ym0Zz7PgGX0-kHA/edit?usp=sharing"",""แผน!HH55"")"),0)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IFERROR(__xludf.DUMMYFUNCTION("IMPORTRANGE(""https://docs.google.com/spreadsheets/d/1QqKyyYR6Q21VydFLVH3TRQUabQu_ym0Zz7PgGX0-kHA/edit?usp=sharing"",""แผน!HG55"")"),0)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IFERROR(__xludf.DUMMYFUNCTION("IMPORTRANGE(""https://docs.google.com/spreadsheets/d/1QqKyyYR6Q21VydFLVH3TRQUabQu_ym0Zz7PgGX0-kHA/edit?usp=sharing"",""แผน!HH55"")"),0)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IFERROR(__xludf.DUMMYFUNCTION("IMPORTRANGE(""https://docs.google.com/spreadsheets/d/1QqKyyYR6Q21VydFLVH3TRQUabQu_ym0Zz7PgGX0-kHA/edit?usp=sharing"",""แผน!HG55"")"),0)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IFERROR(__xludf.DUMMYFUNCTION("IMPORTRANGE(""https://docs.google.com/spreadsheets/d/1QqKyyYR6Q21VydFLVH3TRQUabQu_ym0Zz7PgGX0-kHA/edit?usp=sharing"",""แผน!HH55"")"),0)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IFERROR(__xludf.DUMMYFUNCTION("IMPORTRANGE(""https://docs.google.com/spreadsheets/d/1QqKyyYR6Q21VydFLVH3TRQUabQu_ym0Zz7PgGX0-kHA/edit?usp=sharing"",""แผน!HG55"")"),0)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1072.8599999999999</v>
      </c>
      <c r="J592" s="703">
        <f>J593</f>
        <v>1072.8399999999999</v>
      </c>
      <c r="K592" s="672">
        <f ca="1">IF(I592&gt;0,J592*100/I592,0)</f>
        <v>99.99813582387263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2">
        <f>J595+J603+J609</f>
        <v>1072.8399999999999</v>
      </c>
      <c r="K593" s="410">
        <f ca="1">IF(I593&gt;0,J593*100/I593,0)</f>
        <v>99.99813582387263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IFERROR(__xludf.DUMMYFUNCTION("IMPORTRANGE(""https://docs.google.com/spreadsheets/d/1QqKyyYR6Q21VydFLVH3TRQUabQu_ym0Zz7PgGX0-kHA/edit?usp=sharing"",""แผน!HI55"")"),165)</f>
        <v>165</v>
      </c>
      <c r="J594" s="192">
        <f>J596+J604+J610</f>
        <v>165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899.8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153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626.79999999999995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106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273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47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110.27500000000001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8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110.27500000000001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8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62.765000000000001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4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IFERROR(__xludf.DUMMYFUNCTION("IMPORTRANGE(""https://docs.google.com/spreadsheets/d/1QqKyyYR6Q21VydFLVH3TRQUabQu_ym0Zz7PgGX0-kHA/edit?usp=sharing"",""แผน!HN55"")"),0)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IFERROR(__xludf.DUMMYFUNCTION("IMPORTRANGE(""https://docs.google.com/spreadsheets/d/1QqKyyYR6Q21VydFLVH3TRQUabQu_ym0Zz7PgGX0-kHA/edit?usp=sharing"",""แผน!HQ55"")"),0)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IFERROR(__xludf.DUMMYFUNCTION("IMPORTRANGE(""https://docs.google.com/spreadsheets/d/1QqKyyYR6Q21VydFLVH3TRQUabQu_ym0Zz7PgGX0-kHA/edit?usp=sharing"",""แผน!HR55"")"),0)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IFERROR(__xludf.DUMMYFUNCTION("IMPORTRANGE(""https://docs.google.com/spreadsheets/d/1QqKyyYR6Q21VydFLVH3TRQUabQu_ym0Zz7PgGX0-kHA/edit?usp=sharing"",""แผน!HR55"")"),0)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IFERROR(__xludf.DUMMYFUNCTION("IMPORTRANGE(""https://docs.google.com/spreadsheets/d/1XWAQStnk-4SwqDmLtmXYiTMKHgktTP8We1SCoS47DrQ/edit?usp=sharing"",""จัดที่ดิน!AS55"")"),55)</f>
        <v>55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IFERROR(__xludf.DUMMYFUNCTION("IMPORTRANGE(""https://docs.google.com/spreadsheets/d/1XWAQStnk-4SwqDmLtmXYiTMKHgktTP8We1SCoS47DrQ/edit?usp=sharing"",""จัดที่ดิน!AT55"")"),96.37)</f>
        <v>96.37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IFERROR(__xludf.DUMMYFUNCTION("IMPORTRANGE(""https://docs.google.com/spreadsheets/d/1QqKyyYR6Q21VydFLVH3TRQUabQu_ym0Zz7PgGX0-kHA/edit?usp=sharing"",""แผน!HS55"")"),0)</f>
        <v>0</v>
      </c>
      <c r="J647" s="269">
        <f ca="1">IFERROR(__xludf.DUMMYFUNCTION("IMPORTRANGE(""https://docs.google.com/spreadsheets/d/1XWAQStnk-4SwqDmLtmXYiTMKHgktTP8We1SCoS47DrQ/edit?usp=sharing"",""จัดที่ดิน!AU55"")"),1)</f>
        <v>1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IFERROR(__xludf.DUMMYFUNCTION("IMPORTRANGE(""https://docs.google.com/spreadsheets/d/1QqKyyYR6Q21VydFLVH3TRQUabQu_ym0Zz7PgGX0-kHA/edit?usp=sharing"",""แผน!HS55"")"),0)</f>
        <v>0</v>
      </c>
      <c r="J649" s="269">
        <f ca="1">IFERROR(__xludf.DUMMYFUNCTION("IMPORTRANGE(""https://docs.google.com/spreadsheets/d/1XWAQStnk-4SwqDmLtmXYiTMKHgktTP8We1SCoS47DrQ/edit?usp=sharing"",""จัดที่ดิน!AW55"")"),0)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IFERROR(__xludf.DUMMYFUNCTION("IMPORTRANGE(""https://docs.google.com/spreadsheets/d/1QqKyyYR6Q21VydFLVH3TRQUabQu_ym0Zz7PgGX0-kHA/edit?usp=sharing"",""แผน!HS55"")"),0)</f>
        <v>0</v>
      </c>
      <c r="J651" s="269">
        <f ca="1">IFERROR(__xludf.DUMMYFUNCTION("IMPORTRANGE(""https://docs.google.com/spreadsheets/d/1XWAQStnk-4SwqDmLtmXYiTMKHgktTP8We1SCoS47DrQ/edit?usp=sharing"",""จัดที่ดิน!AY55"")"),0)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100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14000</v>
      </c>
      <c r="M655" s="194">
        <f ca="1">M656+M657</f>
        <v>3500</v>
      </c>
      <c r="N655" s="194">
        <f>N656+N657</f>
        <v>3500</v>
      </c>
      <c r="O655" s="194">
        <f t="shared" ref="O655:O660" ca="1" si="94">IF(L655&gt;0,N655*100/L655,0)</f>
        <v>25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14000</v>
      </c>
      <c r="M657" s="92">
        <f t="shared" ca="1" si="96"/>
        <v>3500</v>
      </c>
      <c r="N657" s="92">
        <f t="shared" si="96"/>
        <v>3500</v>
      </c>
      <c r="O657" s="92">
        <f t="shared" ca="1" si="94"/>
        <v>25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14000</v>
      </c>
      <c r="M658" s="497">
        <f ca="1">M659+M660</f>
        <v>3500</v>
      </c>
      <c r="N658" s="497">
        <f>N659+N660</f>
        <v>3500</v>
      </c>
      <c r="O658" s="497">
        <f t="shared" ca="1" si="94"/>
        <v>25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IFERROR(__xludf.DUMMYFUNCTION("IMPORTRANGE(""https://docs.google.com/spreadsheets/d/1QqKyyYR6Q21VydFLVH3TRQUabQu_ym0Zz7PgGX0-kHA/edit?usp=sharing"",""แผน!HV55"")"),14000)</f>
        <v>14000</v>
      </c>
      <c r="M660" s="92">
        <f ca="1">L660-10500</f>
        <v>3500</v>
      </c>
      <c r="N660" s="92">
        <f>N661+N662+N663+N664</f>
        <v>3500</v>
      </c>
      <c r="O660" s="92">
        <f t="shared" ca="1" si="94"/>
        <v>25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IFERROR(__xludf.DUMMYFUNCTION("IMPORTRANGE(""https://docs.google.com/spreadsheets/d/1QqKyyYR6Q21VydFLVH3TRQUabQu_ym0Zz7PgGX0-kHA/edit?usp=sharing"",""แผน!HZ55"")"),5)</f>
        <v>5</v>
      </c>
      <c r="J670" s="214">
        <v>5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IFERROR(__xludf.DUMMYFUNCTION("IMPORTRANGE(""https://docs.google.com/spreadsheets/d/1QqKyyYR6Q21VydFLVH3TRQUabQu_ym0Zz7PgGX0-kHA/edit?usp=sharing"",""แผน!HZ55"")"),5)</f>
        <v>5</v>
      </c>
      <c r="J671" s="214">
        <v>5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179</v>
      </c>
      <c r="K672" s="497">
        <f ca="1">IF(I$669&gt;0,J672*100/I$669,0)</f>
        <v>179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179</v>
      </c>
      <c r="K673" s="497">
        <f ca="1">IF(I$669&gt;0,J673*100/I$669,0)</f>
        <v>179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31600</v>
      </c>
      <c r="M685" s="194">
        <f ca="1">M686+M687</f>
        <v>25140</v>
      </c>
      <c r="N685" s="194">
        <f>N686+N687</f>
        <v>25140</v>
      </c>
      <c r="O685" s="194">
        <f ca="1">IF(L685&gt;0,N685*100/L685,0)</f>
        <v>79.556962025316452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31600</v>
      </c>
      <c r="M687" s="92">
        <f t="shared" ca="1" si="97"/>
        <v>25140</v>
      </c>
      <c r="N687" s="92">
        <f t="shared" si="97"/>
        <v>25140</v>
      </c>
      <c r="O687" s="92">
        <f ca="1">IF(L687&gt;0,N687*100/L687,0)</f>
        <v>79.556962025316452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31600</v>
      </c>
      <c r="M688" s="497">
        <f ca="1">M689+M690</f>
        <v>25140</v>
      </c>
      <c r="N688" s="497">
        <f>N689+N690</f>
        <v>25140</v>
      </c>
      <c r="O688" s="497">
        <f ca="1">IF(L688&gt;0,N688*100/L688,0)</f>
        <v>79.556962025316452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IFERROR(__xludf.DUMMYFUNCTION("IMPORTRANGE(""https://docs.google.com/spreadsheets/d/1QqKyyYR6Q21VydFLVH3TRQUabQu_ym0Zz7PgGX0-kHA/edit?usp=sharing"",""แผน!HW55"")"),31600)</f>
        <v>31600</v>
      </c>
      <c r="M690" s="92">
        <f ca="1">L690-6460</f>
        <v>25140</v>
      </c>
      <c r="N690" s="92">
        <f>N691+N692+N693+N694</f>
        <v>25140</v>
      </c>
      <c r="O690" s="92">
        <f ca="1">IF(L690&gt;0,N690*100/L690,0)</f>
        <v>79.556962025316452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25140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69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69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97</v>
      </c>
      <c r="K701" s="194">
        <f ca="1">IF(I701&gt;0,J701*100/I701,0)</f>
        <v>32.333333333333336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7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9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4">
        <v>97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4">
        <f ca="1">IF(I708&gt;0,J708*100/I708,0)</f>
        <v>100.66666666666667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3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51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20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20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100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8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8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51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69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38</v>
      </c>
      <c r="K721" s="194">
        <f ca="1">IF(I721&gt;0,J721*100/I721,0)</f>
        <v>108.57142857142857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466.73400000000004</v>
      </c>
      <c r="K722" s="194">
        <f ca="1">IF(I722&gt;0,J722*100/I722,0)</f>
        <v>133.35257142857142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69">
        <f ca="1">IFERROR(__xludf.DUMMYFUNCTION("IMPORTRANGE(""https://docs.google.com/spreadsheets/d/1XWAQStnk-4SwqDmLtmXYiTMKHgktTP8We1SCoS47DrQ/edit?usp=sharing"",""จัดที่ดิน!BM55"")"),29)</f>
        <v>29</v>
      </c>
      <c r="K723" s="497">
        <f ca="1">IF(I723&gt;0,J723*100/I723,0)</f>
        <v>96.666666666666671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IFERROR(__xludf.DUMMYFUNCTION("IMPORTRANGE(""https://docs.google.com/spreadsheets/d/1XWAQStnk-4SwqDmLtmXYiTMKHgktTP8We1SCoS47DrQ/edit?usp=sharing"",""จัดที่ดิน!BN55"")"),40)</f>
        <v>40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69">
        <f ca="1">IFERROR(__xludf.DUMMYFUNCTION("IMPORTRANGE(""https://docs.google.com/spreadsheets/d/1XWAQStnk-4SwqDmLtmXYiTMKHgktTP8We1SCoS47DrQ/edit?usp=sharing"",""จัดที่ดิน!BO55"")"),369.425)</f>
        <v>369.42500000000001</v>
      </c>
      <c r="K725" s="497">
        <f ca="1">IF(I725&gt;0,J725*100/I725,0)</f>
        <v>123.14166666666667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69">
        <f ca="1">IFERROR(__xludf.DUMMYFUNCTION("IMPORTRANGE(""https://docs.google.com/spreadsheets/d/1XWAQStnk-4SwqDmLtmXYiTMKHgktTP8We1SCoS47DrQ/edit?usp=sharing"",""จัดที่ดิน!BR55"")"),9)</f>
        <v>9</v>
      </c>
      <c r="K726" s="497">
        <f ca="1">IF(I726&gt;0,J726*100/I726,0)</f>
        <v>180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IFERROR(__xludf.DUMMYFUNCTION("IMPORTRANGE(""https://docs.google.com/spreadsheets/d/1XWAQStnk-4SwqDmLtmXYiTMKHgktTP8We1SCoS47DrQ/edit?usp=sharing"",""จัดที่ดิน!BS55"")"),14)</f>
        <v>14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69">
        <f ca="1">IFERROR(__xludf.DUMMYFUNCTION("IMPORTRANGE(""https://docs.google.com/spreadsheets/d/1XWAQStnk-4SwqDmLtmXYiTMKHgktTP8We1SCoS47DrQ/edit?usp=sharing"",""จัดที่ดิน!BT55"")"),97.309)</f>
        <v>97.308999999999997</v>
      </c>
      <c r="K728" s="497">
        <f ca="1">IF(I728&gt;0,J728*100/I728,0)</f>
        <v>194.61799999999999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115</v>
      </c>
      <c r="K729" s="194">
        <f ca="1">IF(I729&gt;0,J729*100/I729,0)</f>
        <v>115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5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5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88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IFERROR(__xludf.DUMMYFUNCTION("IMPORTRANGE(""https://docs.google.com/spreadsheets/d/1QqKyyYR6Q21VydFLVH3TRQUabQu_ym0Zz7PgGX0-kHA/edit?usp=sharing"",""แผน!JJ55"")"),0)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IFERROR(__xludf.DUMMYFUNCTION("IMPORTRANGE(""https://docs.google.com/spreadsheets/d/1QqKyyYR6Q21VydFLVH3TRQUabQu_ym0Zz7PgGX0-kHA/edit?usp=sharing"",""แผน!JN55"")"),0)</f>
        <v>0</v>
      </c>
      <c r="J800" s="183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IFERROR(__xludf.DUMMYFUNCTION("IMPORTRANGE(""https://docs.google.com/spreadsheets/d/19vJNZY_5yjcGF2XGBMNZRCAIB0Kwfpjp8YEOfu-bneM/edit?usp=sharing"",""งานกองทุน!D55"")"),3866209.13)</f>
        <v>3866209.13</v>
      </c>
      <c r="J821" s="269">
        <f ca="1">IFERROR(__xludf.DUMMYFUNCTION("IMPORTRANGE(""https://docs.google.com/spreadsheets/d/19vJNZY_5yjcGF2XGBMNZRCAIB0Kwfpjp8YEOfu-bneM/edit?usp=sharing"",""งานกองทุน!F55"")"),3698946.64)</f>
        <v>3698946.64</v>
      </c>
      <c r="K821" s="497">
        <f t="shared" ref="K821:K828" ca="1" si="113">IF(I821&gt;0,J821*100/I821,0)</f>
        <v>95.673734027936561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IFERROR(__xludf.DUMMYFUNCTION("IMPORTRANGE(""https://docs.google.com/spreadsheets/d/19vJNZY_5yjcGF2XGBMNZRCAIB0Kwfpjp8YEOfu-bneM/edit?usp=sharing"",""งานกองทุน!C55"")"),169)</f>
        <v>169</v>
      </c>
      <c r="J822" s="269">
        <f ca="1">IFERROR(__xludf.DUMMYFUNCTION("IMPORTRANGE(""https://docs.google.com/spreadsheets/d/19vJNZY_5yjcGF2XGBMNZRCAIB0Kwfpjp8YEOfu-bneM/edit?usp=sharing"",""งานกองทุน!E55"")"),181)</f>
        <v>181</v>
      </c>
      <c r="K822" s="497">
        <f t="shared" ca="1" si="113"/>
        <v>107.10059171597634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69">
        <f ca="1">IFERROR(__xludf.DUMMYFUNCTION("IMPORTRANGE(""https://docs.google.com/spreadsheets/d/19vJNZY_5yjcGF2XGBMNZRCAIB0Kwfpjp8YEOfu-bneM/edit?usp=sharing"",""งานกองทุน!K55"")"),1101746.57)</f>
        <v>1101746.57</v>
      </c>
      <c r="K823" s="497">
        <f t="shared" ca="1" si="113"/>
        <v>11.117109475052956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IFERROR(__xludf.DUMMYFUNCTION("IMPORTRANGE(""https://docs.google.com/spreadsheets/d/19vJNZY_5yjcGF2XGBMNZRCAIB0Kwfpjp8YEOfu-bneM/edit?usp=sharing"",""งานกองทุน!H55"")"),243)</f>
        <v>243</v>
      </c>
      <c r="J824" s="269">
        <f ca="1">IFERROR(__xludf.DUMMYFUNCTION("IMPORTRANGE(""https://docs.google.com/spreadsheets/d/19vJNZY_5yjcGF2XGBMNZRCAIB0Kwfpjp8YEOfu-bneM/edit?usp=sharing"",""งานกองทุน!J55"")"),93)</f>
        <v>93</v>
      </c>
      <c r="K824" s="497">
        <f t="shared" ca="1" si="113"/>
        <v>38.271604938271608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69">
        <f ca="1">IFERROR(__xludf.DUMMYFUNCTION("IMPORTRANGE(""https://docs.google.com/spreadsheets/d/19vJNZY_5yjcGF2XGBMNZRCAIB0Kwfpjp8YEOfu-bneM/edit?usp=sharing"",""งานกองทุน!P55"")"),3495935.04)</f>
        <v>3495935.04</v>
      </c>
      <c r="K825" s="497">
        <f t="shared" ca="1" si="113"/>
        <v>61.341016136568228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IFERROR(__xludf.DUMMYFUNCTION("IMPORTRANGE(""https://docs.google.com/spreadsheets/d/19vJNZY_5yjcGF2XGBMNZRCAIB0Kwfpjp8YEOfu-bneM/edit?usp=sharing"",""งานกองทุน!M55"")"),2611)</f>
        <v>2611</v>
      </c>
      <c r="J826" s="269">
        <f ca="1">IFERROR(__xludf.DUMMYFUNCTION("IMPORTRANGE(""https://docs.google.com/spreadsheets/d/19vJNZY_5yjcGF2XGBMNZRCAIB0Kwfpjp8YEOfu-bneM/edit?usp=sharing"",""งานกองทุน!O55"")"),2084)</f>
        <v>2084</v>
      </c>
      <c r="K826" s="497">
        <f t="shared" ca="1" si="113"/>
        <v>79.81616238988893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IFERROR(__xludf.DUMMYFUNCTION("IMPORTRANGE(""https://docs.google.com/spreadsheets/d/19vJNZY_5yjcGF2XGBMNZRCAIB0Kwfpjp8YEOfu-bneM/edit?usp=sharing"",""งานกองทุน!S55"")"),3000000)</f>
        <v>3000000</v>
      </c>
      <c r="J827" s="269">
        <f ca="1">IFERROR(__xludf.DUMMYFUNCTION("IMPORTRANGE(""https://docs.google.com/spreadsheets/d/19vJNZY_5yjcGF2XGBMNZRCAIB0Kwfpjp8YEOfu-bneM/edit?usp=sharing"",""งานกองทุน!U55"")"),3570000)</f>
        <v>3570000</v>
      </c>
      <c r="K827" s="497">
        <f t="shared" ca="1" si="113"/>
        <v>119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IFERROR(__xludf.DUMMYFUNCTION("IMPORTRANGE(""https://docs.google.com/spreadsheets/d/19vJNZY_5yjcGF2XGBMNZRCAIB0Kwfpjp8YEOfu-bneM/edit?usp=sharing"",""งานกองทุน!T55"")"),119)</f>
        <v>119</v>
      </c>
      <c r="K828" s="502">
        <f t="shared" ca="1" si="113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A09FC-C894-44A1-BAB5-96B1A351BEA5}">
  <sheetPr>
    <outlinePr summaryBelow="0" summaryRight="0"/>
    <pageSetUpPr fitToPage="1"/>
  </sheetPr>
  <dimension ref="A1:Z2828"/>
  <sheetViews>
    <sheetView view="pageBreakPreview" topLeftCell="E38" zoomScale="60" zoomScaleNormal="30" workbookViewId="0">
      <selection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  <col min="17" max="17" width="15.5703125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341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5294337</v>
      </c>
      <c r="M8" s="21">
        <f ca="1">M9+M10</f>
        <v>5445179.6099999994</v>
      </c>
      <c r="N8" s="21">
        <f ca="1">N9+N10</f>
        <v>5445179.6099999994</v>
      </c>
      <c r="O8" s="21">
        <f t="shared" ref="O8:O16" ca="1" si="0">IF(L8&gt;0,N8*100/L8,0)</f>
        <v>102.84913125099517</v>
      </c>
      <c r="P8" s="21">
        <f t="shared" ref="P8:P16" ca="1" si="1">IF(M8&gt;0,N8*100/M8,0)</f>
        <v>100.00000000000001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22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5294337</v>
      </c>
      <c r="M10" s="29">
        <f t="shared" ca="1" si="2"/>
        <v>5445179.6099999994</v>
      </c>
      <c r="N10" s="29">
        <f t="shared" ca="1" si="2"/>
        <v>5445179.6099999994</v>
      </c>
      <c r="O10" s="29">
        <f t="shared" ca="1" si="0"/>
        <v>102.84913125099517</v>
      </c>
      <c r="P10" s="29">
        <f t="shared" ca="1" si="1"/>
        <v>100.00000000000001</v>
      </c>
      <c r="Q10" s="22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4353437</v>
      </c>
      <c r="M11" s="497">
        <f ca="1">M12+M13</f>
        <v>4474279.6099999994</v>
      </c>
      <c r="N11" s="497">
        <f ca="1">N12+N13</f>
        <v>4474279.6099999994</v>
      </c>
      <c r="O11" s="497">
        <f t="shared" ca="1" si="0"/>
        <v>102.77579783513576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22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4353437</v>
      </c>
      <c r="M13" s="92">
        <f t="shared" ca="1" si="3"/>
        <v>4474279.6099999994</v>
      </c>
      <c r="N13" s="92">
        <f t="shared" ca="1" si="3"/>
        <v>4474279.6099999994</v>
      </c>
      <c r="O13" s="92">
        <f t="shared" ca="1" si="0"/>
        <v>102.77579783513576</v>
      </c>
      <c r="P13" s="92">
        <f t="shared" ca="1" si="1"/>
        <v>100</v>
      </c>
      <c r="Q13" s="22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940900</v>
      </c>
      <c r="M14" s="497">
        <f ca="1">M15+M16</f>
        <v>970900</v>
      </c>
      <c r="N14" s="497">
        <f ca="1">N15+N16</f>
        <v>970900</v>
      </c>
      <c r="O14" s="497">
        <f t="shared" ca="1" si="0"/>
        <v>103.1884366032522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22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940900</v>
      </c>
      <c r="M16" s="51">
        <f t="shared" ca="1" si="4"/>
        <v>970900</v>
      </c>
      <c r="N16" s="51">
        <f t="shared" ca="1" si="4"/>
        <v>970900</v>
      </c>
      <c r="O16" s="51">
        <f t="shared" ca="1" si="0"/>
        <v>103.1884366032522</v>
      </c>
      <c r="P16" s="51">
        <f t="shared" ca="1" si="1"/>
        <v>100</v>
      </c>
      <c r="Q16" s="22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  <c r="Q17" s="2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3931919</v>
      </c>
      <c r="M18" s="21">
        <f ca="1">M19+M20</f>
        <v>4111616.61</v>
      </c>
      <c r="N18" s="21">
        <f ca="1">N19+N20</f>
        <v>4111616.61</v>
      </c>
      <c r="O18" s="21">
        <f t="shared" ref="O18:O26" ca="1" si="5">IF(L18&gt;0,N18*100/L18,0)</f>
        <v>104.57022665014208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22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3931919</v>
      </c>
      <c r="M20" s="29">
        <f t="shared" ca="1" si="7"/>
        <v>4111616.61</v>
      </c>
      <c r="N20" s="29">
        <f t="shared" ca="1" si="7"/>
        <v>4111616.61</v>
      </c>
      <c r="O20" s="29">
        <f t="shared" ca="1" si="5"/>
        <v>104.57022665014208</v>
      </c>
      <c r="P20" s="29">
        <f t="shared" ca="1" si="6"/>
        <v>100</v>
      </c>
      <c r="Q20" s="22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2991019</v>
      </c>
      <c r="M21" s="497">
        <f ca="1">M22+M23</f>
        <v>3140716.61</v>
      </c>
      <c r="N21" s="497">
        <f ca="1">N22+N23</f>
        <v>3140716.61</v>
      </c>
      <c r="O21" s="497">
        <f t="shared" ca="1" si="5"/>
        <v>105.0049033456491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22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2991019</v>
      </c>
      <c r="M23" s="92">
        <f t="shared" ca="1" si="8"/>
        <v>3140716.61</v>
      </c>
      <c r="N23" s="92">
        <f t="shared" ca="1" si="8"/>
        <v>3140716.61</v>
      </c>
      <c r="O23" s="92">
        <f t="shared" ca="1" si="5"/>
        <v>105.0049033456491</v>
      </c>
      <c r="P23" s="92">
        <f t="shared" ca="1" si="6"/>
        <v>100</v>
      </c>
      <c r="Q23" s="22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940900</v>
      </c>
      <c r="M24" s="497">
        <f ca="1">M25+M26</f>
        <v>970900</v>
      </c>
      <c r="N24" s="497">
        <f ca="1">N25+N26</f>
        <v>970900</v>
      </c>
      <c r="O24" s="497">
        <f t="shared" ca="1" si="5"/>
        <v>103.1884366032522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22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940900</v>
      </c>
      <c r="M26" s="51">
        <f t="shared" ca="1" si="9"/>
        <v>970900</v>
      </c>
      <c r="N26" s="51">
        <f t="shared" ca="1" si="9"/>
        <v>970900</v>
      </c>
      <c r="O26" s="51">
        <f t="shared" ca="1" si="5"/>
        <v>103.1884366032522</v>
      </c>
      <c r="P26" s="51">
        <f t="shared" ca="1" si="6"/>
        <v>100</v>
      </c>
      <c r="Q26" s="22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  <c r="Q27" s="2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1362418</v>
      </c>
      <c r="M28" s="21">
        <f ca="1">M29+M30</f>
        <v>1333563</v>
      </c>
      <c r="N28" s="21">
        <f>N29+N30</f>
        <v>1333563</v>
      </c>
      <c r="O28" s="21">
        <f t="shared" ref="O28:O37" ca="1" si="10">IF(L28&gt;0,N28*100/L28,0)</f>
        <v>97.88207437071442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22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1362418</v>
      </c>
      <c r="M30" s="29">
        <f t="shared" ca="1" si="12"/>
        <v>1333563</v>
      </c>
      <c r="N30" s="29">
        <f t="shared" si="12"/>
        <v>1333563</v>
      </c>
      <c r="O30" s="29">
        <f t="shared" ca="1" si="10"/>
        <v>97.88207437071442</v>
      </c>
      <c r="P30" s="29">
        <f t="shared" ca="1" si="11"/>
        <v>100</v>
      </c>
      <c r="Q30" s="22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1362418</v>
      </c>
      <c r="M31" s="497">
        <f ca="1">M32+M33</f>
        <v>1333563</v>
      </c>
      <c r="N31" s="497">
        <f>N32+N33</f>
        <v>1333563</v>
      </c>
      <c r="O31" s="497">
        <f t="shared" ca="1" si="10"/>
        <v>97.88207437071442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22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1362418</v>
      </c>
      <c r="M33" s="92">
        <f t="shared" ca="1" si="13"/>
        <v>1333563</v>
      </c>
      <c r="N33" s="92">
        <f t="shared" si="13"/>
        <v>1333563</v>
      </c>
      <c r="O33" s="92">
        <f t="shared" ca="1" si="10"/>
        <v>97.88207437071442</v>
      </c>
      <c r="P33" s="92">
        <f t="shared" ca="1" si="11"/>
        <v>100</v>
      </c>
      <c r="Q33" s="22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22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22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3931919</v>
      </c>
      <c r="M37" s="58">
        <f ca="1">M41+M53+M66+M88+M119+M132+M149+M165+M181+M261+M277+M298+M315+M328+M345+M389+M402</f>
        <v>4111616.61</v>
      </c>
      <c r="N37" s="58">
        <f ca="1">N41+N53+N66+N88+N119+N132+N149+N165+N181+N261+N277+N298+N315+N328+N345+N389+N402</f>
        <v>4111616.61</v>
      </c>
      <c r="O37" s="58">
        <f t="shared" ca="1" si="10"/>
        <v>104.57022665014208</v>
      </c>
      <c r="P37" s="58">
        <f t="shared" ca="1" si="11"/>
        <v>100</v>
      </c>
      <c r="Q37" s="22"/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  <c r="Q38" s="22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  <c r="Q39" s="22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  <c r="Q40" s="22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562639</v>
      </c>
      <c r="M41" s="84">
        <f ca="1">M42+M43</f>
        <v>529193.43999999994</v>
      </c>
      <c r="N41" s="84">
        <f ca="1">N42+N43</f>
        <v>529193.43999999994</v>
      </c>
      <c r="O41" s="84">
        <f t="shared" ref="O41:O49" ca="1" si="15">IF(L41&gt;0,N41*100/L41,0)</f>
        <v>94.055591596032258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22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562639</v>
      </c>
      <c r="M43" s="91">
        <f t="shared" ca="1" si="17"/>
        <v>529193.43999999994</v>
      </c>
      <c r="N43" s="91">
        <f t="shared" ca="1" si="17"/>
        <v>529193.43999999994</v>
      </c>
      <c r="O43" s="91">
        <f t="shared" ca="1" si="15"/>
        <v>94.055591596032258</v>
      </c>
      <c r="P43" s="91">
        <f t="shared" ca="1" si="16"/>
        <v>100</v>
      </c>
      <c r="Q43" s="22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562639</v>
      </c>
      <c r="M44" s="497">
        <f ca="1">M45+M46</f>
        <v>529193.43999999994</v>
      </c>
      <c r="N44" s="497">
        <f ca="1">N45+N46</f>
        <v>529193.43999999994</v>
      </c>
      <c r="O44" s="497">
        <f t="shared" ca="1" si="15"/>
        <v>94.055591596032258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22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IFERROR(__xludf.DUMMYFUNCTION("IMPORTRANGE(""https://docs.google.com/spreadsheets/d/1MeEWN-I1oV_STSDYn1IFDPWt_1FKiwhDph83XaGc0o0/edit?usp=sharing"",""งบพรบ!M56"")"),562639)</f>
        <v>562639</v>
      </c>
      <c r="M46" s="92">
        <f ca="1">IFERROR(__xludf.DUMMYFUNCTION("IMPORTRANGE(""https://docs.google.com/spreadsheets/d/1MeEWN-I1oV_STSDYn1IFDPWt_1FKiwhDph83XaGc0o0/edit?usp=sharing"",""งบพรบ!R56"")"),529193.44)</f>
        <v>529193.43999999994</v>
      </c>
      <c r="N46" s="92">
        <f ca="1">IFERROR(__xludf.DUMMYFUNCTION("IMPORTRANGE(""https://docs.google.com/spreadsheets/d/1MeEWN-I1oV_STSDYn1IFDPWt_1FKiwhDph83XaGc0o0/edit?usp=sharing"",""งบพรบ!T56"")"),529193.44)</f>
        <v>529193.43999999994</v>
      </c>
      <c r="O46" s="92">
        <f t="shared" ca="1" si="15"/>
        <v>94.055591596032258</v>
      </c>
      <c r="P46" s="92">
        <f t="shared" ca="1" si="16"/>
        <v>100</v>
      </c>
      <c r="Q46" s="22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22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IFERROR(__xludf.DUMMYFUNCTION("IMPORTRANGE(""https://docs.google.com/spreadsheets/d/1MeEWN-I1oV_STSDYn1IFDPWt_1FKiwhDph83XaGc0o0/edit?usp=sharing"",""งบพรบ!P56"")"),0)</f>
        <v>0</v>
      </c>
      <c r="M49" s="51">
        <f ca="1">IFERROR(__xludf.DUMMYFUNCTION("IMPORTRANGE(""https://docs.google.com/spreadsheets/d/1MeEWN-I1oV_STSDYn1IFDPWt_1FKiwhDph83XaGc0o0/edit?usp=sharing"",""งบพรบ!S56"")"),0)</f>
        <v>0</v>
      </c>
      <c r="N49" s="51">
        <f ca="1">IFERROR(__xludf.DUMMYFUNCTION("IMPORTRANGE(""https://docs.google.com/spreadsheets/d/1MeEWN-I1oV_STSDYn1IFDPWt_1FKiwhDph83XaGc0o0/edit?usp=sharing"",""งบพรบ!U56"")"),0)</f>
        <v>0</v>
      </c>
      <c r="O49" s="51">
        <f t="shared" ca="1" si="15"/>
        <v>0</v>
      </c>
      <c r="P49" s="51">
        <f t="shared" ca="1" si="16"/>
        <v>0</v>
      </c>
      <c r="Q49" s="22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  <c r="Q50" s="22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  <c r="Q51" s="22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  <c r="Q52" s="22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752500</v>
      </c>
      <c r="M53" s="115">
        <f ca="1">M54+M55</f>
        <v>853268.17</v>
      </c>
      <c r="N53" s="115">
        <f ca="1">N54+N55</f>
        <v>853268.17</v>
      </c>
      <c r="O53" s="115">
        <f t="shared" ref="O53:O61" ca="1" si="18">IF(L53&gt;0,N53*100/L53,0)</f>
        <v>113.39111893687708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22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752500</v>
      </c>
      <c r="M55" s="122">
        <f t="shared" ca="1" si="20"/>
        <v>853268.17</v>
      </c>
      <c r="N55" s="122">
        <f t="shared" ca="1" si="20"/>
        <v>853268.17</v>
      </c>
      <c r="O55" s="122">
        <f t="shared" ca="1" si="18"/>
        <v>113.39111893687708</v>
      </c>
      <c r="P55" s="122">
        <f t="shared" ca="1" si="19"/>
        <v>100</v>
      </c>
      <c r="Q55" s="22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706600</v>
      </c>
      <c r="M56" s="497">
        <f ca="1">M57+M58</f>
        <v>807368.17</v>
      </c>
      <c r="N56" s="497">
        <f ca="1">N57+N58</f>
        <v>807368.17</v>
      </c>
      <c r="O56" s="497">
        <f t="shared" ca="1" si="18"/>
        <v>114.26099207472403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22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IFERROR(__xludf.DUMMYFUNCTION("IMPORTRANGE(""https://docs.google.com/spreadsheets/d/1MeEWN-I1oV_STSDYn1IFDPWt_1FKiwhDph83XaGc0o0/edit?usp=sharing"",""งบพรบ!W56"")"),706600)</f>
        <v>706600</v>
      </c>
      <c r="M58" s="92">
        <f ca="1">IFERROR(__xludf.DUMMYFUNCTION("IMPORTRANGE(""https://docs.google.com/spreadsheets/d/1MeEWN-I1oV_STSDYn1IFDPWt_1FKiwhDph83XaGc0o0/edit?usp=sharing"",""งบพรบ!AB56"")"),807368.17)</f>
        <v>807368.17</v>
      </c>
      <c r="N58" s="92">
        <f ca="1">IFERROR(__xludf.DUMMYFUNCTION("IMPORTRANGE(""https://docs.google.com/spreadsheets/d/1MeEWN-I1oV_STSDYn1IFDPWt_1FKiwhDph83XaGc0o0/edit?usp=sharing"",""งบพรบ!AD56"")"),807368.17)</f>
        <v>807368.17</v>
      </c>
      <c r="O58" s="92">
        <f t="shared" ca="1" si="18"/>
        <v>114.26099207472403</v>
      </c>
      <c r="P58" s="92">
        <f t="shared" ca="1" si="19"/>
        <v>100</v>
      </c>
      <c r="Q58" s="22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45900</v>
      </c>
      <c r="M59" s="497">
        <f ca="1">M60+M61</f>
        <v>45900</v>
      </c>
      <c r="N59" s="497">
        <f ca="1">N60+N61</f>
        <v>45900</v>
      </c>
      <c r="O59" s="497">
        <f t="shared" ca="1" si="18"/>
        <v>100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22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IFERROR(__xludf.DUMMYFUNCTION("IMPORTRANGE(""https://docs.google.com/spreadsheets/d/1MeEWN-I1oV_STSDYn1IFDPWt_1FKiwhDph83XaGc0o0/edit?usp=sharing"",""งบพรบ!Z56"")"),45900)</f>
        <v>45900</v>
      </c>
      <c r="M61" s="51">
        <f ca="1">IFERROR(__xludf.DUMMYFUNCTION("IMPORTRANGE(""https://docs.google.com/spreadsheets/d/1MeEWN-I1oV_STSDYn1IFDPWt_1FKiwhDph83XaGc0o0/edit?usp=sharing"",""งบพรบ!AC56"")"),45900)</f>
        <v>45900</v>
      </c>
      <c r="N61" s="51">
        <f ca="1">IFERROR(__xludf.DUMMYFUNCTION("IMPORTRANGE(""https://docs.google.com/spreadsheets/d/1MeEWN-I1oV_STSDYn1IFDPWt_1FKiwhDph83XaGc0o0/edit?usp=sharing"",""งบพรบ!AE56"")"),45900)</f>
        <v>45900</v>
      </c>
      <c r="O61" s="51">
        <f t="shared" ca="1" si="18"/>
        <v>100</v>
      </c>
      <c r="P61" s="51">
        <f t="shared" ca="1" si="19"/>
        <v>100</v>
      </c>
      <c r="Q61" s="22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  <c r="Q62" s="22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  <c r="Q63" s="22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  <c r="Q64" s="22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  <c r="Q65" s="22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22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22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22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IFERROR(__xludf.DUMMYFUNCTION("IMPORTRANGE(""https://docs.google.com/spreadsheets/d/1MeEWN-I1oV_STSDYn1IFDPWt_1FKiwhDph83XaGc0o0/edit?usp=sharing"",""งบพรบ!AG56"")"),0)</f>
        <v>0</v>
      </c>
      <c r="M71" s="92">
        <f ca="1">IFERROR(__xludf.DUMMYFUNCTION("IMPORTRANGE(""https://docs.google.com/spreadsheets/d/1MeEWN-I1oV_STSDYn1IFDPWt_1FKiwhDph83XaGc0o0/edit?usp=sharing"",""งบพรบ!AL56"")"),0)</f>
        <v>0</v>
      </c>
      <c r="N71" s="92">
        <f ca="1">IFERROR(__xludf.DUMMYFUNCTION("IMPORTRANGE(""https://docs.google.com/spreadsheets/d/1MeEWN-I1oV_STSDYn1IFDPWt_1FKiwhDph83XaGc0o0/edit?usp=sharing"",""งบพรบ!AN56"")"),0)</f>
        <v>0</v>
      </c>
      <c r="O71" s="92">
        <f t="shared" ca="1" si="21"/>
        <v>0</v>
      </c>
      <c r="P71" s="92">
        <f t="shared" ca="1" si="22"/>
        <v>0</v>
      </c>
      <c r="Q71" s="22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22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IFERROR(__xludf.DUMMYFUNCTION("IMPORTRANGE(""https://docs.google.com/spreadsheets/d/1MeEWN-I1oV_STSDYn1IFDPWt_1FKiwhDph83XaGc0o0/edit?usp=sharing"",""งบพรบ!AJ56"")"),0)</f>
        <v>0</v>
      </c>
      <c r="M74" s="92">
        <f ca="1">IFERROR(__xludf.DUMMYFUNCTION("IMPORTRANGE(""https://docs.google.com/spreadsheets/d/1MeEWN-I1oV_STSDYn1IFDPWt_1FKiwhDph83XaGc0o0/edit?usp=sharing"",""งบพรบ!AM56"")"),0)</f>
        <v>0</v>
      </c>
      <c r="N74" s="92">
        <f ca="1">IFERROR(__xludf.DUMMYFUNCTION("IMPORTRANGE(""https://docs.google.com/spreadsheets/d/1MeEWN-I1oV_STSDYn1IFDPWt_1FKiwhDph83XaGc0o0/edit?usp=sharing"",""งบพรบ!AO56"")"),0)</f>
        <v>0</v>
      </c>
      <c r="O74" s="92">
        <f t="shared" ca="1" si="21"/>
        <v>0</v>
      </c>
      <c r="P74" s="92">
        <f t="shared" ca="1" si="22"/>
        <v>0</v>
      </c>
      <c r="Q74" s="22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  <c r="Q75" s="2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  <c r="Q76" s="2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  <c r="Q77" s="2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IFERROR(__xludf.DUMMYFUNCTION("IMPORTRANGE(""https://docs.google.com/spreadsheets/d/1QqKyyYR6Q21VydFLVH3TRQUabQu_ym0Zz7PgGX0-kHA/edit?usp=sharing"",""แผน!H56"")"),0)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  <c r="Q78" s="2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IFERROR(__xludf.DUMMYFUNCTION("IMPORTRANGE(""https://docs.google.com/spreadsheets/d/1QqKyyYR6Q21VydFLVH3TRQUabQu_ym0Zz7PgGX0-kHA/edit?usp=sharing"",""แผน!I56"")"),0)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  <c r="Q79" s="2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IFERROR(__xludf.DUMMYFUNCTION("IMPORTRANGE(""https://docs.google.com/spreadsheets/d/1QqKyyYR6Q21VydFLVH3TRQUabQu_ym0Zz7PgGX0-kHA/edit?usp=sharing"",""แผน!F56"")"),0)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  <c r="Q80" s="2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IFERROR(__xludf.DUMMYFUNCTION("IMPORTRANGE(""https://docs.google.com/spreadsheets/d/1QqKyyYR6Q21VydFLVH3TRQUabQu_ym0Zz7PgGX0-kHA/edit?usp=sharing"",""แผน!G56"")"),0)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  <c r="Q81" s="2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IFERROR(__xludf.DUMMYFUNCTION("IMPORTRANGE(""https://docs.google.com/spreadsheets/d/1QqKyyYR6Q21VydFLVH3TRQUabQu_ym0Zz7PgGX0-kHA/edit?usp=sharing"",""แผน!D56"")"),0)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  <c r="Q82" s="2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IFERROR(__xludf.DUMMYFUNCTION("IMPORTRANGE(""https://docs.google.com/spreadsheets/d/1QqKyyYR6Q21VydFLVH3TRQUabQu_ym0Zz7PgGX0-kHA/edit?usp=sharing"",""แผน!E56"")"),0)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  <c r="Q83" s="2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IFERROR(__xludf.DUMMYFUNCTION("IMPORTRANGE(""https://docs.google.com/spreadsheets/d/1QqKyyYR6Q21VydFLVH3TRQUabQu_ym0Zz7PgGX0-kHA/edit?usp=sharing"",""แผน!J56"")"),0)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  <c r="Q84" s="2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  <c r="Q85" s="22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0</v>
      </c>
      <c r="J86" s="143">
        <f>J98</f>
        <v>0</v>
      </c>
      <c r="K86" s="144">
        <f ca="1">IF(I86&gt;0,J86*100/I86,0)</f>
        <v>0</v>
      </c>
      <c r="L86" s="145"/>
      <c r="M86" s="145"/>
      <c r="N86" s="145"/>
      <c r="O86" s="145"/>
      <c r="P86" s="145"/>
      <c r="Q86" s="22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0</v>
      </c>
      <c r="J87" s="143">
        <f>J99</f>
        <v>0</v>
      </c>
      <c r="K87" s="144">
        <f ca="1">IF(I87&gt;0,J87*100/I87,0)</f>
        <v>0</v>
      </c>
      <c r="L87" s="145"/>
      <c r="M87" s="145"/>
      <c r="N87" s="145"/>
      <c r="O87" s="145"/>
      <c r="P87" s="145"/>
      <c r="Q87" s="22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31200</v>
      </c>
      <c r="M88" s="154">
        <f ca="1">M89+M90</f>
        <v>38805</v>
      </c>
      <c r="N88" s="154">
        <f ca="1">N89+N90</f>
        <v>38805</v>
      </c>
      <c r="O88" s="154">
        <f t="shared" ref="O88:O96" ca="1" si="25">IF(L88&gt;0,N88*100/L88,0)</f>
        <v>124.375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22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31200</v>
      </c>
      <c r="M90" s="92">
        <f t="shared" ca="1" si="27"/>
        <v>38805</v>
      </c>
      <c r="N90" s="92">
        <f t="shared" ca="1" si="27"/>
        <v>38805</v>
      </c>
      <c r="O90" s="92">
        <f t="shared" ca="1" si="25"/>
        <v>124.375</v>
      </c>
      <c r="P90" s="92">
        <f t="shared" ca="1" si="26"/>
        <v>100</v>
      </c>
      <c r="Q90" s="22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31200</v>
      </c>
      <c r="M91" s="497">
        <f ca="1">M92+M93</f>
        <v>38805</v>
      </c>
      <c r="N91" s="497">
        <f ca="1">N92+N93</f>
        <v>38805</v>
      </c>
      <c r="O91" s="497">
        <f t="shared" ca="1" si="25"/>
        <v>124.375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22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IFERROR(__xludf.DUMMYFUNCTION("IMPORTRANGE(""https://docs.google.com/spreadsheets/d/1MeEWN-I1oV_STSDYn1IFDPWt_1FKiwhDph83XaGc0o0/edit?usp=sharing"",""งบพรบ!AQ56"")"),31200)</f>
        <v>31200</v>
      </c>
      <c r="M93" s="92">
        <f ca="1">IFERROR(__xludf.DUMMYFUNCTION("IMPORTRANGE(""https://docs.google.com/spreadsheets/d/1MeEWN-I1oV_STSDYn1IFDPWt_1FKiwhDph83XaGc0o0/edit?usp=sharing"",""งบพรบ!AV56"")"),38805)</f>
        <v>38805</v>
      </c>
      <c r="N93" s="92">
        <f ca="1">IFERROR(__xludf.DUMMYFUNCTION("IMPORTRANGE(""https://docs.google.com/spreadsheets/d/1MeEWN-I1oV_STSDYn1IFDPWt_1FKiwhDph83XaGc0o0/edit?usp=sharing"",""งบพรบ!AX56"")"),38805)</f>
        <v>38805</v>
      </c>
      <c r="O93" s="92">
        <f t="shared" ca="1" si="25"/>
        <v>124.375</v>
      </c>
      <c r="P93" s="92">
        <f t="shared" ca="1" si="26"/>
        <v>100</v>
      </c>
      <c r="Q93" s="22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22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IFERROR(__xludf.DUMMYFUNCTION("IMPORTRANGE(""https://docs.google.com/spreadsheets/d/1MeEWN-I1oV_STSDYn1IFDPWt_1FKiwhDph83XaGc0o0/edit?usp=sharing"",""งบพรบ!AT56"")"),0)</f>
        <v>0</v>
      </c>
      <c r="M96" s="92">
        <f ca="1">IFERROR(__xludf.DUMMYFUNCTION("IMPORTRANGE(""https://docs.google.com/spreadsheets/d/1MeEWN-I1oV_STSDYn1IFDPWt_1FKiwhDph83XaGc0o0/edit?usp=sharing"",""งบพรบ!AW56"")"),0)</f>
        <v>0</v>
      </c>
      <c r="N96" s="92">
        <f ca="1">IFERROR(__xludf.DUMMYFUNCTION("IMPORTRANGE(""https://docs.google.com/spreadsheets/d/1MeEWN-I1oV_STSDYn1IFDPWt_1FKiwhDph83XaGc0o0/edit?usp=sharing"",""งบพรบ!AY56"")"),0)</f>
        <v>0</v>
      </c>
      <c r="O96" s="92">
        <f t="shared" ca="1" si="25"/>
        <v>0</v>
      </c>
      <c r="P96" s="92">
        <f t="shared" ca="1" si="26"/>
        <v>0</v>
      </c>
      <c r="Q96" s="22"/>
      <c r="R96" s="30"/>
      <c r="S96" s="30"/>
      <c r="T96" s="30"/>
      <c r="U96" s="30"/>
      <c r="V96" s="30"/>
      <c r="W96" s="30"/>
      <c r="X96" s="30"/>
      <c r="Y96" s="30"/>
      <c r="Z96" s="30"/>
    </row>
    <row r="97" spans="1:17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  <c r="Q97" s="22"/>
    </row>
    <row r="98" spans="1:17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IFERROR(__xludf.DUMMYFUNCTION("IMPORTRANGE(""https://docs.google.com/spreadsheets/d/1QqKyyYR6Q21VydFLVH3TRQUabQu_ym0Zz7PgGX0-kHA/edit?usp=sharing"",""แผน!K56"")"),0)</f>
        <v>0</v>
      </c>
      <c r="J98" s="269">
        <f>J102</f>
        <v>0</v>
      </c>
      <c r="K98" s="497">
        <f ca="1">IF(I98&gt;0,J98*100/I98,0)</f>
        <v>0</v>
      </c>
      <c r="L98" s="497"/>
      <c r="M98" s="497"/>
      <c r="N98" s="497"/>
      <c r="O98" s="162"/>
      <c r="P98" s="162"/>
      <c r="Q98" s="22"/>
    </row>
    <row r="99" spans="1:17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IFERROR(__xludf.DUMMYFUNCTION("IMPORTRANGE(""https://docs.google.com/spreadsheets/d/1QqKyyYR6Q21VydFLVH3TRQUabQu_ym0Zz7PgGX0-kHA/edit?usp=sharing"",""แผน!L56"")"),0)</f>
        <v>0</v>
      </c>
      <c r="J99" s="269">
        <f>J104</f>
        <v>0</v>
      </c>
      <c r="K99" s="497">
        <f ca="1">IF(I99&gt;0,J99*100/I99,0)</f>
        <v>0</v>
      </c>
      <c r="L99" s="497"/>
      <c r="M99" s="497"/>
      <c r="N99" s="497"/>
      <c r="O99" s="162"/>
      <c r="P99" s="162"/>
      <c r="Q99" s="22"/>
    </row>
    <row r="100" spans="1:17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IFERROR(__xludf.DUMMYFUNCTION("IMPORTRANGE(""https://docs.google.com/spreadsheets/d/1QqKyyYR6Q21VydFLVH3TRQUabQu_ym0Zz7PgGX0-kHA/edit?usp=sharing"",""แผน!M56"")"),1)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  <c r="Q100" s="22"/>
    </row>
    <row r="101" spans="1:17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  <c r="Q101" s="22"/>
    </row>
    <row r="102" spans="1:17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IFERROR(__xludf.DUMMYFUNCTION("IMPORTRANGE(""https://docs.google.com/spreadsheets/d/1QqKyyYR6Q21VydFLVH3TRQUabQu_ym0Zz7PgGX0-kHA/edit?usp=sharing"",""แผน!N56"")"),0)</f>
        <v>0</v>
      </c>
      <c r="J102" s="214">
        <v>0</v>
      </c>
      <c r="K102" s="497">
        <f ca="1">IF(I102&gt;0,J102*100/I102,0)</f>
        <v>0</v>
      </c>
      <c r="L102" s="497"/>
      <c r="M102" s="497"/>
      <c r="N102" s="497"/>
      <c r="O102" s="162"/>
      <c r="P102" s="162"/>
      <c r="Q102" s="22"/>
    </row>
    <row r="103" spans="1:17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IFERROR(__xludf.DUMMYFUNCTION("IMPORTRANGE(""https://docs.google.com/spreadsheets/d/1QqKyyYR6Q21VydFLVH3TRQUabQu_ym0Zz7PgGX0-kHA/edit?usp=sharing"",""แผน!O56"")"),0)</f>
        <v>0</v>
      </c>
      <c r="J103" s="214">
        <v>0</v>
      </c>
      <c r="K103" s="497">
        <f ca="1">IF(I103&gt;0,J103*100/I103,0)</f>
        <v>0</v>
      </c>
      <c r="L103" s="497"/>
      <c r="M103" s="497"/>
      <c r="N103" s="497"/>
      <c r="O103" s="162"/>
      <c r="P103" s="162"/>
      <c r="Q103" s="22"/>
    </row>
    <row r="104" spans="1:17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IFERROR(__xludf.DUMMYFUNCTION("IMPORTRANGE(""https://docs.google.com/spreadsheets/d/1QqKyyYR6Q21VydFLVH3TRQUabQu_ym0Zz7PgGX0-kHA/edit?usp=sharing"",""แผน!O56"")"),0)</f>
        <v>0</v>
      </c>
      <c r="J104" s="214">
        <v>0</v>
      </c>
      <c r="K104" s="497">
        <f ca="1">IF(I104&gt;0,J104*100/I104,0)</f>
        <v>0</v>
      </c>
      <c r="L104" s="497"/>
      <c r="M104" s="497"/>
      <c r="N104" s="497"/>
      <c r="O104" s="162"/>
      <c r="P104" s="162"/>
      <c r="Q104" s="22"/>
    </row>
    <row r="105" spans="1:17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  <c r="Q105" s="22"/>
    </row>
    <row r="106" spans="1:17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IFERROR(__xludf.DUMMYFUNCTION("IMPORTRANGE(""https://docs.google.com/spreadsheets/d/1QqKyyYR6Q21VydFLVH3TRQUabQu_ym0Zz7PgGX0-kHA/edit?usp=sharing"",""แผน!P56"")"),0)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  <c r="Q106" s="22"/>
    </row>
    <row r="107" spans="1:17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IFERROR(__xludf.DUMMYFUNCTION("IMPORTRANGE(""https://docs.google.com/spreadsheets/d/1QqKyyYR6Q21VydFLVH3TRQUabQu_ym0Zz7PgGX0-kHA/edit?usp=sharing"",""แผน!P56"")"),0)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  <c r="Q107" s="22"/>
    </row>
    <row r="108" spans="1:17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  <c r="Q108" s="22"/>
    </row>
    <row r="109" spans="1:17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IFERROR(__xludf.DUMMYFUNCTION("IMPORTRANGE(""https://docs.google.com/spreadsheets/d/1QqKyyYR6Q21VydFLVH3TRQUabQu_ym0Zz7PgGX0-kHA/edit?usp=sharing"",""แผน!Q56"")"),1)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  <c r="Q109" s="22"/>
    </row>
    <row r="110" spans="1:17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IFERROR(__xludf.DUMMYFUNCTION("IMPORTRANGE(""https://docs.google.com/spreadsheets/d/1QqKyyYR6Q21VydFLVH3TRQUabQu_ym0Zz7PgGX0-kHA/edit?usp=sharing"",""แผน!Q56"")"),1)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  <c r="Q110" s="22"/>
    </row>
    <row r="111" spans="1:17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4">
        <f t="shared" ca="1" si="28"/>
        <v>0</v>
      </c>
      <c r="L111" s="497"/>
      <c r="M111" s="497"/>
      <c r="N111" s="497"/>
      <c r="O111" s="162"/>
      <c r="P111" s="162"/>
      <c r="Q111" s="22"/>
    </row>
    <row r="112" spans="1:17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  <c r="Q112" s="2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IFERROR(__xludf.DUMMYFUNCTION("IMPORTRANGE(""https://docs.google.com/spreadsheets/d/1QqKyyYR6Q21VydFLVH3TRQUabQu_ym0Zz7PgGX0-kHA/edit?usp=sharing"",""แผน!R56"")"),0)</f>
        <v>0</v>
      </c>
      <c r="J113" s="214">
        <v>0</v>
      </c>
      <c r="K113" s="497">
        <f t="shared" ca="1" si="28"/>
        <v>0</v>
      </c>
      <c r="L113" s="497"/>
      <c r="M113" s="497"/>
      <c r="N113" s="497"/>
      <c r="O113" s="162"/>
      <c r="P113" s="162"/>
      <c r="Q113" s="2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IFERROR(__xludf.DUMMYFUNCTION("IMPORTRANGE(""https://docs.google.com/spreadsheets/d/1QqKyyYR6Q21VydFLVH3TRQUabQu_ym0Zz7PgGX0-kHA/edit?usp=sharing"",""แผน!R56"")"),0)</f>
        <v>0</v>
      </c>
      <c r="J114" s="214">
        <v>0</v>
      </c>
      <c r="K114" s="497">
        <f t="shared" ca="1" si="28"/>
        <v>0</v>
      </c>
      <c r="L114" s="497"/>
      <c r="M114" s="497"/>
      <c r="N114" s="497"/>
      <c r="O114" s="162"/>
      <c r="P114" s="162"/>
      <c r="Q114" s="2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IFERROR(__xludf.DUMMYFUNCTION("IMPORTRANGE(""https://docs.google.com/spreadsheets/d/1QqKyyYR6Q21VydFLVH3TRQUabQu_ym0Zz7PgGX0-kHA/edit?usp=sharing"",""แผน!S56"")"),0)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  <c r="Q115" s="2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IFERROR(__xludf.DUMMYFUNCTION("IMPORTRANGE(""https://docs.google.com/spreadsheets/d/1QqKyyYR6Q21VydFLVH3TRQUabQu_ym0Zz7PgGX0-kHA/edit?usp=sharing"",""แผน!T56"")"),1)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  <c r="Q116" s="2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  <c r="Q117" s="22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  <c r="Q118" s="22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22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22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22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IFERROR(__xludf.DUMMYFUNCTION("IMPORTRANGE(""https://docs.google.com/spreadsheets/d/1MeEWN-I1oV_STSDYn1IFDPWt_1FKiwhDph83XaGc0o0/edit?usp=sharing"",""งบพรบ!BA56"")"),0)</f>
        <v>0</v>
      </c>
      <c r="M124" s="92">
        <f ca="1">IFERROR(__xludf.DUMMYFUNCTION("IMPORTRANGE(""https://docs.google.com/spreadsheets/d/1MeEWN-I1oV_STSDYn1IFDPWt_1FKiwhDph83XaGc0o0/edit?usp=sharing"",""งบพรบ!BF56"")"),0)</f>
        <v>0</v>
      </c>
      <c r="N124" s="92">
        <f ca="1">IFERROR(__xludf.DUMMYFUNCTION("IMPORTRANGE(""https://docs.google.com/spreadsheets/d/1MeEWN-I1oV_STSDYn1IFDPWt_1FKiwhDph83XaGc0o0/edit?usp=sharing"",""งบพรบ!BH56"")"),0)</f>
        <v>0</v>
      </c>
      <c r="O124" s="92">
        <f t="shared" ca="1" si="29"/>
        <v>0</v>
      </c>
      <c r="P124" s="92">
        <f t="shared" ca="1" si="30"/>
        <v>0</v>
      </c>
      <c r="Q124" s="22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22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IFERROR(__xludf.DUMMYFUNCTION("IMPORTRANGE(""https://docs.google.com/spreadsheets/d/1MeEWN-I1oV_STSDYn1IFDPWt_1FKiwhDph83XaGc0o0/edit?usp=sharing"",""งบพรบ!BD56"")"),0)</f>
        <v>0</v>
      </c>
      <c r="M127" s="92">
        <f ca="1">IFERROR(__xludf.DUMMYFUNCTION("IMPORTRANGE(""https://docs.google.com/spreadsheets/d/1MeEWN-I1oV_STSDYn1IFDPWt_1FKiwhDph83XaGc0o0/edit?usp=sharing"",""งบพรบ!BG56"")"),0)</f>
        <v>0</v>
      </c>
      <c r="N127" s="92">
        <f ca="1">IFERROR(__xludf.DUMMYFUNCTION("IMPORTRANGE(""https://docs.google.com/spreadsheets/d/1MeEWN-I1oV_STSDYn1IFDPWt_1FKiwhDph83XaGc0o0/edit?usp=sharing"",""งบพรบ!BI56"")"),0)</f>
        <v>0</v>
      </c>
      <c r="O127" s="92">
        <f t="shared" ca="1" si="29"/>
        <v>0</v>
      </c>
      <c r="P127" s="92">
        <f t="shared" ca="1" si="30"/>
        <v>0</v>
      </c>
      <c r="Q127" s="22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  <c r="Q128" s="22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  <c r="Q129" s="22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  <c r="Q130" s="22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  <c r="Q131" s="22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22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22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22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IFERROR(__xludf.DUMMYFUNCTION("IMPORTRANGE(""https://docs.google.com/spreadsheets/d/1MeEWN-I1oV_STSDYn1IFDPWt_1FKiwhDph83XaGc0o0/edit?usp=sharing"",""งบพรบ!BK56"")"),0)</f>
        <v>0</v>
      </c>
      <c r="M137" s="92">
        <f ca="1">IFERROR(__xludf.DUMMYFUNCTION("IMPORTRANGE(""https://docs.google.com/spreadsheets/d/1MeEWN-I1oV_STSDYn1IFDPWt_1FKiwhDph83XaGc0o0/edit?usp=sharing"",""งบพรบ!BP56"")"),0)</f>
        <v>0</v>
      </c>
      <c r="N137" s="92">
        <f ca="1">IFERROR(__xludf.DUMMYFUNCTION("IMPORTRANGE(""https://docs.google.com/spreadsheets/d/1MeEWN-I1oV_STSDYn1IFDPWt_1FKiwhDph83XaGc0o0/edit?usp=sharing"",""งบพรบ!BR56"")"),0)</f>
        <v>0</v>
      </c>
      <c r="O137" s="92">
        <f t="shared" ca="1" si="32"/>
        <v>0</v>
      </c>
      <c r="P137" s="92">
        <f t="shared" ca="1" si="33"/>
        <v>0</v>
      </c>
      <c r="Q137" s="22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22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IFERROR(__xludf.DUMMYFUNCTION("IMPORTRANGE(""https://docs.google.com/spreadsheets/d/1MeEWN-I1oV_STSDYn1IFDPWt_1FKiwhDph83XaGc0o0/edit?usp=sharing"",""งบพรบ!BN56"")"),0)</f>
        <v>0</v>
      </c>
      <c r="M140" s="92">
        <f ca="1">IFERROR(__xludf.DUMMYFUNCTION("IMPORTRANGE(""https://docs.google.com/spreadsheets/d/1MeEWN-I1oV_STSDYn1IFDPWt_1FKiwhDph83XaGc0o0/edit?usp=sharing"",""งบพรบ!BQ56"")"),0)</f>
        <v>0</v>
      </c>
      <c r="N140" s="92">
        <f ca="1">IFERROR(__xludf.DUMMYFUNCTION("IMPORTRANGE(""https://docs.google.com/spreadsheets/d/1MeEWN-I1oV_STSDYn1IFDPWt_1FKiwhDph83XaGc0o0/edit?usp=sharing"",""งบพรบ!BS56"")"),0)</f>
        <v>0</v>
      </c>
      <c r="O140" s="92">
        <f t="shared" ca="1" si="32"/>
        <v>0</v>
      </c>
      <c r="P140" s="92">
        <f t="shared" ca="1" si="33"/>
        <v>0</v>
      </c>
      <c r="Q140" s="22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  <c r="Q141" s="22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  <c r="Q142" s="22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  <c r="Q143" s="22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IFERROR(__xludf.DUMMYFUNCTION("IMPORTRANGE(""https://docs.google.com/spreadsheets/d/1QqKyyYR6Q21VydFLVH3TRQUabQu_ym0Zz7PgGX0-kHA/edit?usp=sharing"",""แผน!U56"")"),0)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  <c r="Q144" s="22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IFERROR(__xludf.DUMMYFUNCTION("IMPORTRANGE(""https://docs.google.com/spreadsheets/d/1QqKyyYR6Q21VydFLVH3TRQUabQu_ym0Zz7PgGX0-kHA/edit?usp=sharing"",""แผน!V56"")"),0)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  <c r="Q145" s="22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IFERROR(__xludf.DUMMYFUNCTION("IMPORTRANGE(""https://docs.google.com/spreadsheets/d/1QqKyyYR6Q21VydFLVH3TRQUabQu_ym0Zz7PgGX0-kHA/edit?usp=sharing"",""แผน!W56"")"),0)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  <c r="Q146" s="22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  <c r="Q147" s="22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22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22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22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IFERROR(__xludf.DUMMYFUNCTION("IMPORTRANGE(""https://docs.google.com/spreadsheets/d/1MeEWN-I1oV_STSDYn1IFDPWt_1FKiwhDph83XaGc0o0/edit?usp=sharing"",""งบพรบ!BU56"")"),0)</f>
        <v>0</v>
      </c>
      <c r="M154" s="92">
        <f ca="1">IFERROR(__xludf.DUMMYFUNCTION("IMPORTRANGE(""https://docs.google.com/spreadsheets/d/1MeEWN-I1oV_STSDYn1IFDPWt_1FKiwhDph83XaGc0o0/edit?usp=sharing"",""งบพรบ!BZ56"")"),0)</f>
        <v>0</v>
      </c>
      <c r="N154" s="92">
        <f ca="1">IFERROR(__xludf.DUMMYFUNCTION("IMPORTRANGE(""https://docs.google.com/spreadsheets/d/1MeEWN-I1oV_STSDYn1IFDPWt_1FKiwhDph83XaGc0o0/edit?usp=sharing"",""งบพรบ!CB56"")"),0)</f>
        <v>0</v>
      </c>
      <c r="O154" s="92">
        <f t="shared" ca="1" si="35"/>
        <v>0</v>
      </c>
      <c r="P154" s="92">
        <f t="shared" ca="1" si="36"/>
        <v>0</v>
      </c>
      <c r="Q154" s="22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22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IFERROR(__xludf.DUMMYFUNCTION("IMPORTRANGE(""https://docs.google.com/spreadsheets/d/1MeEWN-I1oV_STSDYn1IFDPWt_1FKiwhDph83XaGc0o0/edit?usp=sharing"",""งบพรบ!BX56"")"),0)</f>
        <v>0</v>
      </c>
      <c r="M157" s="92">
        <f ca="1">IFERROR(__xludf.DUMMYFUNCTION("IMPORTRANGE(""https://docs.google.com/spreadsheets/d/1MeEWN-I1oV_STSDYn1IFDPWt_1FKiwhDph83XaGc0o0/edit?usp=sharing"",""งบพรบ!CA56"")"),0)</f>
        <v>0</v>
      </c>
      <c r="N157" s="92">
        <f ca="1">IFERROR(__xludf.DUMMYFUNCTION("IMPORTRANGE(""https://docs.google.com/spreadsheets/d/1MeEWN-I1oV_STSDYn1IFDPWt_1FKiwhDph83XaGc0o0/edit?usp=sharing"",""งบพรบ!CC56"")"),0)</f>
        <v>0</v>
      </c>
      <c r="O157" s="92">
        <f t="shared" ca="1" si="35"/>
        <v>0</v>
      </c>
      <c r="P157" s="92">
        <f t="shared" ca="1" si="36"/>
        <v>0</v>
      </c>
      <c r="Q157" s="22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  <c r="Q158" s="22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IFERROR(__xludf.DUMMYFUNCTION("IMPORTRANGE(""https://docs.google.com/spreadsheets/d/1QqKyyYR6Q21VydFLVH3TRQUabQu_ym0Zz7PgGX0-kHA/edit?usp=sharing"",""แผน!X56"")"),0)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  <c r="Q159" s="22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  <c r="Q162" s="22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  <c r="Q163" s="22"/>
    </row>
    <row r="164" spans="1:26" ht="19.5" hidden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75">
        <f ca="1">I174+I177</f>
        <v>0</v>
      </c>
      <c r="J164" s="875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  <c r="Q164" s="874">
        <f t="shared" ref="Q164:Q179" si="38">M164-N164</f>
        <v>0</v>
      </c>
    </row>
    <row r="165" spans="1:26" ht="19.5" hidden="1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3">
        <f ca="1">L166+L167</f>
        <v>0</v>
      </c>
      <c r="M165" s="153">
        <f ca="1">M166+M167</f>
        <v>13800</v>
      </c>
      <c r="N165" s="153">
        <f ca="1">N166+N167</f>
        <v>13800</v>
      </c>
      <c r="O165" s="153">
        <f t="shared" ref="O165:O173" ca="1" si="39">IF(L165&gt;0,N165*100/L165,0)</f>
        <v>0</v>
      </c>
      <c r="P165" s="153">
        <f t="shared" ref="P165:P173" ca="1" si="40">IF(M165&gt;0,N165*100/M165,0)</f>
        <v>100</v>
      </c>
      <c r="Q165" s="874">
        <f t="shared" ca="1" si="38"/>
        <v>0</v>
      </c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1">L169+L172</f>
        <v>0</v>
      </c>
      <c r="M166" s="92">
        <f t="shared" si="41"/>
        <v>0</v>
      </c>
      <c r="N166" s="92">
        <f t="shared" si="41"/>
        <v>0</v>
      </c>
      <c r="O166" s="92">
        <f t="shared" si="39"/>
        <v>0</v>
      </c>
      <c r="P166" s="92">
        <f t="shared" si="40"/>
        <v>0</v>
      </c>
      <c r="Q166" s="874">
        <f t="shared" si="38"/>
        <v>0</v>
      </c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1"/>
        <v>0</v>
      </c>
      <c r="M167" s="92">
        <f t="shared" ca="1" si="41"/>
        <v>13800</v>
      </c>
      <c r="N167" s="92">
        <f t="shared" ca="1" si="41"/>
        <v>13800</v>
      </c>
      <c r="O167" s="92">
        <f t="shared" ca="1" si="39"/>
        <v>0</v>
      </c>
      <c r="P167" s="92">
        <f t="shared" ca="1" si="40"/>
        <v>100</v>
      </c>
      <c r="Q167" s="874">
        <f t="shared" ca="1" si="38"/>
        <v>0</v>
      </c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13800</v>
      </c>
      <c r="N168" s="497">
        <f ca="1">N169+N170</f>
        <v>13800</v>
      </c>
      <c r="O168" s="497">
        <f t="shared" ca="1" si="39"/>
        <v>0</v>
      </c>
      <c r="P168" s="497">
        <f t="shared" ca="1" si="40"/>
        <v>100</v>
      </c>
      <c r="Q168" s="874">
        <f t="shared" ca="1" si="38"/>
        <v>0</v>
      </c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9"/>
        <v>0</v>
      </c>
      <c r="P169" s="92">
        <f t="shared" si="40"/>
        <v>0</v>
      </c>
      <c r="Q169" s="874">
        <f t="shared" si="38"/>
        <v>0</v>
      </c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IFERROR(__xludf.DUMMYFUNCTION("IMPORTRANGE(""https://docs.google.com/spreadsheets/d/1MeEWN-I1oV_STSDYn1IFDPWt_1FKiwhDph83XaGc0o0/edit?usp=sharing"",""งบพรบ!CE56"")"),0)</f>
        <v>0</v>
      </c>
      <c r="M170" s="92">
        <f ca="1">IFERROR(__xludf.DUMMYFUNCTION("IMPORTRANGE(""https://docs.google.com/spreadsheets/d/1MeEWN-I1oV_STSDYn1IFDPWt_1FKiwhDph83XaGc0o0/edit?usp=sharing"",""งบพรบ!CJ56"")"),13800)</f>
        <v>13800</v>
      </c>
      <c r="N170" s="92">
        <f ca="1">IFERROR(__xludf.DUMMYFUNCTION("IMPORTRANGE(""https://docs.google.com/spreadsheets/d/1MeEWN-I1oV_STSDYn1IFDPWt_1FKiwhDph83XaGc0o0/edit?usp=sharing"",""งบพรบ!CL56"")"),13800)</f>
        <v>13800</v>
      </c>
      <c r="O170" s="92">
        <f t="shared" ca="1" si="39"/>
        <v>0</v>
      </c>
      <c r="P170" s="92">
        <f t="shared" ca="1" si="40"/>
        <v>100</v>
      </c>
      <c r="Q170" s="874">
        <f t="shared" ca="1" si="38"/>
        <v>0</v>
      </c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9"/>
        <v>0</v>
      </c>
      <c r="P171" s="497">
        <f t="shared" ca="1" si="40"/>
        <v>0</v>
      </c>
      <c r="Q171" s="874">
        <f t="shared" ca="1" si="38"/>
        <v>0</v>
      </c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9"/>
        <v>0</v>
      </c>
      <c r="P172" s="92">
        <f t="shared" si="40"/>
        <v>0</v>
      </c>
      <c r="Q172" s="874">
        <f t="shared" si="38"/>
        <v>0</v>
      </c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IFERROR(__xludf.DUMMYFUNCTION("IMPORTRANGE(""https://docs.google.com/spreadsheets/d/1MeEWN-I1oV_STSDYn1IFDPWt_1FKiwhDph83XaGc0o0/edit?usp=sharing"",""งบพรบ!CH56"")"),0)</f>
        <v>0</v>
      </c>
      <c r="M173" s="92">
        <f ca="1">IFERROR(__xludf.DUMMYFUNCTION("IMPORTRANGE(""https://docs.google.com/spreadsheets/d/1MeEWN-I1oV_STSDYn1IFDPWt_1FKiwhDph83XaGc0o0/edit?usp=sharing"",""งบพรบ!CK56"")"),0)</f>
        <v>0</v>
      </c>
      <c r="N173" s="92">
        <f ca="1">IFERROR(__xludf.DUMMYFUNCTION("IMPORTRANGE(""https://docs.google.com/spreadsheets/d/1MeEWN-I1oV_STSDYn1IFDPWt_1FKiwhDph83XaGc0o0/edit?usp=sharing"",""งบพรบ!CM56"")"),0)</f>
        <v>0</v>
      </c>
      <c r="O173" s="92">
        <f t="shared" ca="1" si="39"/>
        <v>0</v>
      </c>
      <c r="P173" s="92">
        <f t="shared" ca="1" si="40"/>
        <v>0</v>
      </c>
      <c r="Q173" s="874">
        <f t="shared" ca="1" si="38"/>
        <v>0</v>
      </c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  <c r="Q174" s="874">
        <f t="shared" si="38"/>
        <v>0</v>
      </c>
    </row>
    <row r="175" spans="1:26" ht="19.5" hidden="1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  <c r="Q175" s="874">
        <f t="shared" si="38"/>
        <v>0</v>
      </c>
    </row>
    <row r="176" spans="1:26" ht="18.75" hidden="1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IFERROR(__xludf.DUMMYFUNCTION("IMPORTRANGE(""https://docs.google.com/spreadsheets/d/1QqKyyYR6Q21VydFLVH3TRQUabQu_ym0Zz7PgGX0-kHA/edit?usp=sharing"",""แผน!Y56"")"),0)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  <c r="Q176" s="874">
        <f t="shared" si="38"/>
        <v>0</v>
      </c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  <c r="Q177" s="874">
        <f t="shared" si="38"/>
        <v>0</v>
      </c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  <c r="Q178" s="874">
        <f t="shared" si="38"/>
        <v>0</v>
      </c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  <c r="Q179" s="874">
        <f t="shared" si="38"/>
        <v>0</v>
      </c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40</v>
      </c>
      <c r="J180" s="252">
        <f>J225+J226</f>
        <v>41</v>
      </c>
      <c r="K180" s="253">
        <f ca="1">IF(I180&gt;0,J180*100/I180,0)</f>
        <v>102.5</v>
      </c>
      <c r="L180" s="254"/>
      <c r="M180" s="254"/>
      <c r="N180" s="254"/>
      <c r="O180" s="254"/>
      <c r="P180" s="254"/>
      <c r="Q180" s="22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153900</v>
      </c>
      <c r="M181" s="154">
        <f ca="1">M182+M183</f>
        <v>168990</v>
      </c>
      <c r="N181" s="154">
        <f ca="1">N182+N183</f>
        <v>168990</v>
      </c>
      <c r="O181" s="154">
        <f t="shared" ref="O181:O189" ca="1" si="42">IF(L181&gt;0,N181*100/L181,0)</f>
        <v>109.80506822612085</v>
      </c>
      <c r="P181" s="154">
        <f t="shared" ref="P181:P189" ca="1" si="43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4">L185+L188</f>
        <v>0</v>
      </c>
      <c r="M182" s="92">
        <f t="shared" si="44"/>
        <v>0</v>
      </c>
      <c r="N182" s="92">
        <f t="shared" si="44"/>
        <v>0</v>
      </c>
      <c r="O182" s="92">
        <f t="shared" si="42"/>
        <v>0</v>
      </c>
      <c r="P182" s="92">
        <f t="shared" si="43"/>
        <v>0</v>
      </c>
      <c r="Q182" s="22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4"/>
        <v>153900</v>
      </c>
      <c r="M183" s="92">
        <f t="shared" ca="1" si="44"/>
        <v>168990</v>
      </c>
      <c r="N183" s="92">
        <f t="shared" ca="1" si="44"/>
        <v>168990</v>
      </c>
      <c r="O183" s="92">
        <f t="shared" ca="1" si="42"/>
        <v>109.80506822612085</v>
      </c>
      <c r="P183" s="92">
        <f t="shared" ca="1" si="43"/>
        <v>100</v>
      </c>
      <c r="Q183" s="22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153900</v>
      </c>
      <c r="M184" s="497">
        <f ca="1">M185+M186</f>
        <v>168990</v>
      </c>
      <c r="N184" s="497">
        <f ca="1">N185+N186</f>
        <v>168990</v>
      </c>
      <c r="O184" s="497">
        <f t="shared" ca="1" si="42"/>
        <v>109.80506822612085</v>
      </c>
      <c r="P184" s="497">
        <f t="shared" ca="1" si="43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2"/>
        <v>0</v>
      </c>
      <c r="P185" s="92">
        <f t="shared" si="43"/>
        <v>0</v>
      </c>
      <c r="Q185" s="22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IFERROR(__xludf.DUMMYFUNCTION("IMPORTRANGE(""https://docs.google.com/spreadsheets/d/1MeEWN-I1oV_STSDYn1IFDPWt_1FKiwhDph83XaGc0o0/edit?usp=sharing"",""งบพรบ!CO56"")"),153900)</f>
        <v>153900</v>
      </c>
      <c r="M186" s="92">
        <f ca="1">IFERROR(__xludf.DUMMYFUNCTION("IMPORTRANGE(""https://docs.google.com/spreadsheets/d/1MeEWN-I1oV_STSDYn1IFDPWt_1FKiwhDph83XaGc0o0/edit?usp=sharing"",""งบพรบ!CT56"")"),168990)</f>
        <v>168990</v>
      </c>
      <c r="N186" s="92">
        <f ca="1">IFERROR(__xludf.DUMMYFUNCTION("IMPORTRANGE(""https://docs.google.com/spreadsheets/d/1MeEWN-I1oV_STSDYn1IFDPWt_1FKiwhDph83XaGc0o0/edit?usp=sharing"",""งบพรบ!CV56"")"),168990)</f>
        <v>168990</v>
      </c>
      <c r="O186" s="92">
        <f t="shared" ca="1" si="42"/>
        <v>109.80506822612085</v>
      </c>
      <c r="P186" s="92">
        <f t="shared" ca="1" si="43"/>
        <v>100</v>
      </c>
      <c r="Q186" s="22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2"/>
        <v>0</v>
      </c>
      <c r="P187" s="497">
        <f t="shared" ca="1" si="43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2"/>
        <v>0</v>
      </c>
      <c r="P188" s="92">
        <f t="shared" si="43"/>
        <v>0</v>
      </c>
      <c r="Q188" s="22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IFERROR(__xludf.DUMMYFUNCTION("IMPORTRANGE(""https://docs.google.com/spreadsheets/d/1MeEWN-I1oV_STSDYn1IFDPWt_1FKiwhDph83XaGc0o0/edit?usp=sharing"",""งบพรบ!CR56"")"),0)</f>
        <v>0</v>
      </c>
      <c r="M189" s="92">
        <f ca="1">IFERROR(__xludf.DUMMYFUNCTION("IMPORTRANGE(""https://docs.google.com/spreadsheets/d/1MeEWN-I1oV_STSDYn1IFDPWt_1FKiwhDph83XaGc0o0/edit?usp=sharing"",""งบพรบ!CU56"")"),0)</f>
        <v>0</v>
      </c>
      <c r="N189" s="92">
        <f ca="1">IFERROR(__xludf.DUMMYFUNCTION("IMPORTRANGE(""https://docs.google.com/spreadsheets/d/1MeEWN-I1oV_STSDYn1IFDPWt_1FKiwhDph83XaGc0o0/edit?usp=sharing"",""งบพรบ!CW56"")"),0)</f>
        <v>0</v>
      </c>
      <c r="O189" s="92">
        <f t="shared" ca="1" si="42"/>
        <v>0</v>
      </c>
      <c r="P189" s="92">
        <f t="shared" ca="1" si="43"/>
        <v>0</v>
      </c>
      <c r="Q189" s="22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  <c r="Q190" s="22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IFERROR(__xludf.DUMMYFUNCTION("IMPORTRANGE(""https://docs.google.com/spreadsheets/d/1QqKyyYR6Q21VydFLVH3TRQUabQu_ym0Zz7PgGX0-kHA/edit?usp=sharing"",""แผน!Z56"")"),6000)</f>
        <v>6000</v>
      </c>
      <c r="M191" s="154"/>
      <c r="N191" s="275">
        <f>860+5140</f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IFERROR(__xludf.DUMMYFUNCTION("IMPORTRANGE(""https://docs.google.com/spreadsheets/d/1QqKyyYR6Q21VydFLVH3TRQUabQu_ym0Zz7PgGX0-kHA/edit?usp=sharing"",""แผน!AC56"")"),4)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4</v>
      </c>
      <c r="J197" s="271">
        <f>J204</f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  <c r="Q197" s="22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57000</v>
      </c>
      <c r="M198" s="154"/>
      <c r="N198" s="154">
        <f>N199+N200+N201+N202</f>
        <v>57000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3">
        <v>4000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3">
        <v>32000</v>
      </c>
      <c r="O200" s="497"/>
      <c r="P200" s="497"/>
      <c r="Q200" s="22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3">
        <v>16000</v>
      </c>
      <c r="O201" s="497"/>
      <c r="P201" s="497"/>
      <c r="Q201" s="22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3">
        <v>5000</v>
      </c>
      <c r="O202" s="497"/>
      <c r="P202" s="497"/>
      <c r="Q202" s="22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IFERROR(__xludf.DUMMYFUNCTION("IMPORTRANGE(""https://docs.google.com/spreadsheets/d/1QqKyyYR6Q21VydFLVH3TRQUabQu_ym0Zz7PgGX0-kHA/edit?usp=sharing"",""แผน!AI56"")"),4)</f>
        <v>4</v>
      </c>
      <c r="J204" s="214">
        <v>4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4</v>
      </c>
      <c r="J206" s="214">
        <v>4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1</v>
      </c>
      <c r="J207" s="214">
        <v>1</v>
      </c>
      <c r="K207" s="162">
        <f>IF(I207&gt;0,J207*100/I207,0)</f>
        <v>100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  <c r="Q208" s="22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3">
        <v>0</v>
      </c>
      <c r="O211" s="497"/>
      <c r="P211" s="497"/>
      <c r="Q211" s="22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3">
        <v>0</v>
      </c>
      <c r="O212" s="497"/>
      <c r="P212" s="497"/>
      <c r="Q212" s="22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IFERROR(__xludf.DUMMYFUNCTION("IMPORTRANGE(""https://docs.google.com/spreadsheets/d/1QqKyyYR6Q21VydFLVH3TRQUabQu_ym0Zz7PgGX0-kHA/edit?usp=sharing"",""แผน!AN56"")"),0)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IFERROR(__xludf.DUMMYFUNCTION("IMPORTRANGE(""https://docs.google.com/spreadsheets/d/1QqKyyYR6Q21VydFLVH3TRQUabQu_ym0Zz7PgGX0-kHA/edit?usp=sharing"",""แผน!AN56"")"),0)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5000</v>
      </c>
      <c r="J216" s="271">
        <f>J224</f>
        <v>5000</v>
      </c>
      <c r="K216" s="272">
        <f ca="1">IF(I216&gt;0,J216*100/I216,0)</f>
        <v>100</v>
      </c>
      <c r="L216" s="261"/>
      <c r="M216" s="261"/>
      <c r="N216" s="261"/>
      <c r="O216" s="261"/>
      <c r="P216" s="261"/>
      <c r="Q216" s="22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15900</v>
      </c>
      <c r="M217" s="154"/>
      <c r="N217" s="154">
        <f>N218+N219+N220</f>
        <v>15900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3">
        <v>2900</v>
      </c>
      <c r="O219" s="497"/>
      <c r="P219" s="497"/>
      <c r="Q219" s="22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3">
        <v>10000</v>
      </c>
      <c r="O220" s="497"/>
      <c r="P220" s="497"/>
      <c r="Q220" s="22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IFERROR(__xludf.DUMMYFUNCTION("IMPORTRANGE(""https://docs.google.com/spreadsheets/d/1QqKyyYR6Q21VydFLVH3TRQUabQu_ym0Zz7PgGX0-kHA/edit?usp=sharing"",""แผน!AT56"")"),5000)</f>
        <v>5000</v>
      </c>
      <c r="J223" s="214">
        <v>5000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IFERROR(__xludf.DUMMYFUNCTION("IMPORTRANGE(""https://docs.google.com/spreadsheets/d/1QqKyyYR6Q21VydFLVH3TRQUabQu_ym0Zz7PgGX0-kHA/edit?usp=sharing"",""แผน!AT56"")"),5000)</f>
        <v>5000</v>
      </c>
      <c r="J224" s="214">
        <v>5000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IFERROR(__xludf.DUMMYFUNCTION("IMPORTRANGE(""https://docs.google.com/spreadsheets/d/1QqKyyYR6Q21VydFLVH3TRQUabQu_ym0Zz7PgGX0-kHA/edit?usp=sharing"",""แผน!AS56"")"),10)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30</v>
      </c>
      <c r="J226" s="344">
        <f>J237+J248</f>
        <v>31</v>
      </c>
      <c r="K226" s="345">
        <f ca="1">IF(I226&gt;0,J226*100/I226,0)</f>
        <v>103.33333333333333</v>
      </c>
      <c r="L226" s="261"/>
      <c r="M226" s="261"/>
      <c r="N226" s="261"/>
      <c r="O226" s="261"/>
      <c r="P226" s="261"/>
      <c r="Q226" s="22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75000</v>
      </c>
      <c r="M227" s="355"/>
      <c r="N227" s="355">
        <f>N238+N249</f>
        <v>75000</v>
      </c>
      <c r="O227" s="864"/>
      <c r="P227" s="864"/>
      <c r="Q227" s="22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22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15000</v>
      </c>
      <c r="M229" s="92"/>
      <c r="N229" s="92">
        <f>N240+N251</f>
        <v>15000</v>
      </c>
      <c r="O229" s="92"/>
      <c r="P229" s="92"/>
      <c r="Q229" s="22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30000</v>
      </c>
      <c r="M230" s="92"/>
      <c r="N230" s="92">
        <f>N241+N252</f>
        <v>30000</v>
      </c>
      <c r="O230" s="92"/>
      <c r="P230" s="92"/>
      <c r="Q230" s="22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22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22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30</v>
      </c>
      <c r="J233" s="612">
        <f>J244+J255</f>
        <v>31</v>
      </c>
      <c r="K233" s="92">
        <f ca="1">IF(I233&gt;0,J233*100/I233,0)</f>
        <v>103.33333333333333</v>
      </c>
      <c r="L233" s="92"/>
      <c r="M233" s="92"/>
      <c r="N233" s="92"/>
      <c r="O233" s="92"/>
      <c r="P233" s="92"/>
      <c r="Q233" s="22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22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30</v>
      </c>
      <c r="J235" s="612">
        <f>J246+J257</f>
        <v>31</v>
      </c>
      <c r="K235" s="92">
        <f>IF(I235&gt;0,J235*100/I235,0)</f>
        <v>103.33333333333333</v>
      </c>
      <c r="L235" s="92"/>
      <c r="M235" s="92"/>
      <c r="N235" s="92"/>
      <c r="O235" s="92"/>
      <c r="P235" s="92"/>
      <c r="Q235" s="22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2</v>
      </c>
      <c r="K236" s="92">
        <f>IF(I236&gt;0,J236*100/I236,0)</f>
        <v>200</v>
      </c>
      <c r="L236" s="92"/>
      <c r="M236" s="92"/>
      <c r="N236" s="92"/>
      <c r="O236" s="92"/>
      <c r="P236" s="92"/>
      <c r="Q236" s="22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30</v>
      </c>
      <c r="J237" s="271">
        <f>J244</f>
        <v>31</v>
      </c>
      <c r="K237" s="272">
        <f ca="1">IF(I237&gt;0,J237*100/I237,0)</f>
        <v>103.33333333333333</v>
      </c>
      <c r="L237" s="261"/>
      <c r="M237" s="261"/>
      <c r="N237" s="261"/>
      <c r="O237" s="261"/>
      <c r="P237" s="261"/>
      <c r="Q237" s="22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75000</v>
      </c>
      <c r="M238" s="154"/>
      <c r="N238" s="154">
        <f>N239+N240+N241+N242</f>
        <v>75000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IFERROR(__xludf.DUMMYFUNCTION("IMPORTRANGE(""https://docs.google.com/spreadsheets/d/1QqKyyYR6Q21VydFLVH3TRQUabQu_ym0Zz7PgGX0-kHA/edit?usp=sharing"",""แผน!AV56"")"),20000)</f>
        <v>20000</v>
      </c>
      <c r="M239" s="282"/>
      <c r="N239" s="862">
        <v>20000</v>
      </c>
      <c r="O239" s="282"/>
      <c r="P239" s="282"/>
      <c r="Q239" s="22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IFERROR(__xludf.DUMMYFUNCTION("IMPORTRANGE(""https://docs.google.com/spreadsheets/d/1QqKyyYR6Q21VydFLVH3TRQUabQu_ym0Zz7PgGX0-kHA/edit?usp=sharing"",""แผน!AW56"")"),15000)</f>
        <v>15000</v>
      </c>
      <c r="M240" s="282"/>
      <c r="N240" s="862">
        <v>15000</v>
      </c>
      <c r="O240" s="282"/>
      <c r="P240" s="282"/>
      <c r="Q240" s="22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IFERROR(__xludf.DUMMYFUNCTION("IMPORTRANGE(""https://docs.google.com/spreadsheets/d/1QqKyyYR6Q21VydFLVH3TRQUabQu_ym0Zz7PgGX0-kHA/edit?usp=sharing"",""แผน!AX56"")"),30000)</f>
        <v>30000</v>
      </c>
      <c r="M241" s="282"/>
      <c r="N241" s="862">
        <v>30000</v>
      </c>
      <c r="O241" s="282"/>
      <c r="P241" s="282"/>
      <c r="Q241" s="22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IFERROR(__xludf.DUMMYFUNCTION("IMPORTRANGE(""https://docs.google.com/spreadsheets/d/1QqKyyYR6Q21VydFLVH3TRQUabQu_ym0Zz7PgGX0-kHA/edit?usp=sharing"",""แผน!AY56"")"),10000)</f>
        <v>10000</v>
      </c>
      <c r="M242" s="282"/>
      <c r="N242" s="862">
        <v>10000</v>
      </c>
      <c r="O242" s="282"/>
      <c r="P242" s="282"/>
      <c r="Q242" s="22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IFERROR(__xludf.DUMMYFUNCTION("IMPORTRANGE(""https://docs.google.com/spreadsheets/d/1QqKyyYR6Q21VydFLVH3TRQUabQu_ym0Zz7PgGX0-kHA/edit?usp=sharing"",""แผน!BE56"")"),30)</f>
        <v>30</v>
      </c>
      <c r="J244" s="214">
        <v>31</v>
      </c>
      <c r="K244" s="497">
        <f ca="1">IF(I244&gt;0,J244*100/I244,0)</f>
        <v>103.33333333333333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30</v>
      </c>
      <c r="J246" s="214">
        <v>31</v>
      </c>
      <c r="K246" s="497">
        <f>IF(I246&gt;0,J246*100/I246,0)</f>
        <v>103.33333333333333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2</v>
      </c>
      <c r="K247" s="497">
        <f>IF(I247&gt;0,J247*100/I247,0)</f>
        <v>200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  <c r="Q248" s="22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IFERROR(__xludf.DUMMYFUNCTION("IMPORTRANGE(""https://docs.google.com/spreadsheets/d/1QqKyyYR6Q21VydFLVH3TRQUabQu_ym0Zz7PgGX0-kHA/edit?usp=sharing"",""แผน!AZ56"")"),0)</f>
        <v>0</v>
      </c>
      <c r="M250" s="282"/>
      <c r="N250" s="862">
        <v>0</v>
      </c>
      <c r="O250" s="282"/>
      <c r="P250" s="282"/>
      <c r="Q250" s="22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IFERROR(__xludf.DUMMYFUNCTION("IMPORTRANGE(""https://docs.google.com/spreadsheets/d/1QqKyyYR6Q21VydFLVH3TRQUabQu_ym0Zz7PgGX0-kHA/edit?usp=sharing"",""แผน!BA56"")"),0)</f>
        <v>0</v>
      </c>
      <c r="M251" s="282"/>
      <c r="N251" s="862">
        <v>0</v>
      </c>
      <c r="O251" s="282"/>
      <c r="P251" s="282"/>
      <c r="Q251" s="22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IFERROR(__xludf.DUMMYFUNCTION("IMPORTRANGE(""https://docs.google.com/spreadsheets/d/1QqKyyYR6Q21VydFLVH3TRQUabQu_ym0Zz7PgGX0-kHA/edit?usp=sharing"",""แผน!BB56"")"),0)</f>
        <v>0</v>
      </c>
      <c r="M252" s="282"/>
      <c r="N252" s="862">
        <v>0</v>
      </c>
      <c r="O252" s="282"/>
      <c r="P252" s="282"/>
      <c r="Q252" s="22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IFERROR(__xludf.DUMMYFUNCTION("IMPORTRANGE(""https://docs.google.com/spreadsheets/d/1QqKyyYR6Q21VydFLVH3TRQUabQu_ym0Zz7PgGX0-kHA/edit?usp=sharing"",""แผน!BC56"")"),0)</f>
        <v>0</v>
      </c>
      <c r="M253" s="282"/>
      <c r="N253" s="862">
        <v>0</v>
      </c>
      <c r="O253" s="282"/>
      <c r="P253" s="282"/>
      <c r="Q253" s="22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  <c r="Q259" s="22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  <c r="Q260" s="22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5">IF(L261&gt;0,N261*100/L261,0)</f>
        <v>100</v>
      </c>
      <c r="P261" s="154">
        <f t="shared" ref="P261:P269" ca="1" si="46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7">L265+L268</f>
        <v>0</v>
      </c>
      <c r="M262" s="92">
        <f t="shared" si="47"/>
        <v>0</v>
      </c>
      <c r="N262" s="92">
        <f t="shared" si="47"/>
        <v>0</v>
      </c>
      <c r="O262" s="92">
        <f t="shared" si="45"/>
        <v>0</v>
      </c>
      <c r="P262" s="92">
        <f t="shared" si="46"/>
        <v>0</v>
      </c>
      <c r="Q262" s="22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7"/>
        <v>25000</v>
      </c>
      <c r="M263" s="92">
        <f t="shared" ca="1" si="47"/>
        <v>25000</v>
      </c>
      <c r="N263" s="92">
        <f t="shared" ca="1" si="47"/>
        <v>25000</v>
      </c>
      <c r="O263" s="92">
        <f t="shared" ca="1" si="45"/>
        <v>100</v>
      </c>
      <c r="P263" s="92">
        <f t="shared" ca="1" si="46"/>
        <v>100</v>
      </c>
      <c r="Q263" s="22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5"/>
        <v>100</v>
      </c>
      <c r="P264" s="497">
        <f t="shared" ca="1" si="46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5"/>
        <v>0</v>
      </c>
      <c r="P265" s="92">
        <f t="shared" si="46"/>
        <v>0</v>
      </c>
      <c r="Q265" s="22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IFERROR(__xludf.DUMMYFUNCTION("IMPORTRANGE(""https://docs.google.com/spreadsheets/d/1MeEWN-I1oV_STSDYn1IFDPWt_1FKiwhDph83XaGc0o0/edit?usp=sharing"",""งบพรบ!CY56"")"),25000)</f>
        <v>25000</v>
      </c>
      <c r="M266" s="92">
        <f ca="1">IFERROR(__xludf.DUMMYFUNCTION("IMPORTRANGE(""https://docs.google.com/spreadsheets/d/1MeEWN-I1oV_STSDYn1IFDPWt_1FKiwhDph83XaGc0o0/edit?usp=sharing"",""งบพรบ!DD56"")"),25000)</f>
        <v>25000</v>
      </c>
      <c r="N266" s="92">
        <f ca="1">IFERROR(__xludf.DUMMYFUNCTION("IMPORTRANGE(""https://docs.google.com/spreadsheets/d/1MeEWN-I1oV_STSDYn1IFDPWt_1FKiwhDph83XaGc0o0/edit?usp=sharing"",""งบพรบ!DF56"")"),25000)</f>
        <v>25000</v>
      </c>
      <c r="O266" s="92">
        <f t="shared" ca="1" si="45"/>
        <v>100</v>
      </c>
      <c r="P266" s="92">
        <f t="shared" ca="1" si="46"/>
        <v>100</v>
      </c>
      <c r="Q266" s="22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5"/>
        <v>0</v>
      </c>
      <c r="P267" s="497">
        <f t="shared" ca="1" si="46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5"/>
        <v>0</v>
      </c>
      <c r="P268" s="92">
        <f t="shared" si="46"/>
        <v>0</v>
      </c>
      <c r="Q268" s="22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IFERROR(__xludf.DUMMYFUNCTION("IMPORTRANGE(""https://docs.google.com/spreadsheets/d/1MeEWN-I1oV_STSDYn1IFDPWt_1FKiwhDph83XaGc0o0/edit?usp=sharing"",""งบพรบ!DB56"")"),0)</f>
        <v>0</v>
      </c>
      <c r="M269" s="92">
        <f ca="1">IFERROR(__xludf.DUMMYFUNCTION("IMPORTRANGE(""https://docs.google.com/spreadsheets/d/1MeEWN-I1oV_STSDYn1IFDPWt_1FKiwhDph83XaGc0o0/edit?usp=sharing"",""งบพรบ!DE56"")"),0)</f>
        <v>0</v>
      </c>
      <c r="N269" s="92">
        <f ca="1">IFERROR(__xludf.DUMMYFUNCTION("IMPORTRANGE(""https://docs.google.com/spreadsheets/d/1MeEWN-I1oV_STSDYn1IFDPWt_1FKiwhDph83XaGc0o0/edit?usp=sharing"",""งบพรบ!DG56"")"),0)</f>
        <v>0</v>
      </c>
      <c r="O269" s="92">
        <f t="shared" ca="1" si="45"/>
        <v>0</v>
      </c>
      <c r="P269" s="92">
        <f t="shared" ca="1" si="46"/>
        <v>0</v>
      </c>
      <c r="Q269" s="22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  <c r="Q270" s="2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IFERROR(__xludf.DUMMYFUNCTION("IMPORTRANGE(""https://docs.google.com/spreadsheets/d/1QqKyyYR6Q21VydFLVH3TRQUabQu_ym0Zz7PgGX0-kHA/edit?usp=sharing"",""แผน!EA56"")"),20)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  <c r="Q271" s="2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  <c r="Q272" s="22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  <c r="Q273" s="22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  <c r="Q274" s="22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5</v>
      </c>
      <c r="K275" s="406">
        <f ca="1">IF(I275&gt;0,J275*100/I275,0)</f>
        <v>100</v>
      </c>
      <c r="L275" s="407"/>
      <c r="M275" s="407"/>
      <c r="N275" s="407"/>
      <c r="O275" s="407"/>
      <c r="P275" s="407"/>
      <c r="Q275" s="22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50</v>
      </c>
      <c r="J276" s="860">
        <f>J287</f>
        <v>50</v>
      </c>
      <c r="K276" s="407">
        <f ca="1">IF(I276&gt;0,J276*100/I276,0)</f>
        <v>100</v>
      </c>
      <c r="L276" s="407"/>
      <c r="M276" s="407"/>
      <c r="N276" s="407"/>
      <c r="O276" s="407"/>
      <c r="P276" s="407"/>
      <c r="Q276" s="22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163030</v>
      </c>
      <c r="M277" s="154">
        <f ca="1">M278+M279</f>
        <v>163030</v>
      </c>
      <c r="N277" s="154">
        <f ca="1">N278+N279</f>
        <v>163030</v>
      </c>
      <c r="O277" s="154">
        <f t="shared" ref="O277:O285" ca="1" si="48">IF(L277&gt;0,N277*100/L277,0)</f>
        <v>100</v>
      </c>
      <c r="P277" s="154">
        <f t="shared" ref="P277:P285" ca="1" si="49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50">L281+L284</f>
        <v>0</v>
      </c>
      <c r="M278" s="92">
        <f t="shared" si="50"/>
        <v>0</v>
      </c>
      <c r="N278" s="92">
        <f t="shared" si="50"/>
        <v>0</v>
      </c>
      <c r="O278" s="92">
        <f t="shared" si="48"/>
        <v>0</v>
      </c>
      <c r="P278" s="92">
        <f t="shared" si="49"/>
        <v>0</v>
      </c>
      <c r="Q278" s="22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50"/>
        <v>163030</v>
      </c>
      <c r="M279" s="92">
        <f t="shared" ca="1" si="50"/>
        <v>163030</v>
      </c>
      <c r="N279" s="92">
        <f t="shared" ca="1" si="50"/>
        <v>163030</v>
      </c>
      <c r="O279" s="92">
        <f t="shared" ca="1" si="48"/>
        <v>100</v>
      </c>
      <c r="P279" s="92">
        <f t="shared" ca="1" si="49"/>
        <v>100</v>
      </c>
      <c r="Q279" s="22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163030</v>
      </c>
      <c r="M280" s="497">
        <f ca="1">M281+M282</f>
        <v>163030</v>
      </c>
      <c r="N280" s="497">
        <f ca="1">N281+N282</f>
        <v>163030</v>
      </c>
      <c r="O280" s="497">
        <f t="shared" ca="1" si="48"/>
        <v>100</v>
      </c>
      <c r="P280" s="497">
        <f t="shared" ca="1" si="49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8"/>
        <v>0</v>
      </c>
      <c r="P281" s="92">
        <f t="shared" si="49"/>
        <v>0</v>
      </c>
      <c r="Q281" s="22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IFERROR(__xludf.DUMMYFUNCTION("IMPORTRANGE(""https://docs.google.com/spreadsheets/d/1MeEWN-I1oV_STSDYn1IFDPWt_1FKiwhDph83XaGc0o0/edit?usp=sharing"",""งบพรบ!DI56"")"),163030)</f>
        <v>163030</v>
      </c>
      <c r="M282" s="92">
        <f ca="1">IFERROR(__xludf.DUMMYFUNCTION("IMPORTRANGE(""https://docs.google.com/spreadsheets/d/1MeEWN-I1oV_STSDYn1IFDPWt_1FKiwhDph83XaGc0o0/edit?usp=sharing"",""งบพรบ!DN56"")"),163030)</f>
        <v>163030</v>
      </c>
      <c r="N282" s="92">
        <f ca="1">IFERROR(__xludf.DUMMYFUNCTION("IMPORTRANGE(""https://docs.google.com/spreadsheets/d/1MeEWN-I1oV_STSDYn1IFDPWt_1FKiwhDph83XaGc0o0/edit?usp=sharing"",""งบพรบ!DP56"")"),163030)</f>
        <v>163030</v>
      </c>
      <c r="O282" s="92">
        <f t="shared" ca="1" si="48"/>
        <v>100</v>
      </c>
      <c r="P282" s="92">
        <f t="shared" ca="1" si="49"/>
        <v>100</v>
      </c>
      <c r="Q282" s="22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8"/>
        <v>0</v>
      </c>
      <c r="P283" s="497">
        <f t="shared" ca="1" si="49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8"/>
        <v>0</v>
      </c>
      <c r="P284" s="92">
        <f t="shared" si="49"/>
        <v>0</v>
      </c>
      <c r="Q284" s="22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IFERROR(__xludf.DUMMYFUNCTION("IMPORTRANGE(""https://docs.google.com/spreadsheets/d/1MeEWN-I1oV_STSDYn1IFDPWt_1FKiwhDph83XaGc0o0/edit?usp=sharing"",""งบพรบ!DL56"")"),0)</f>
        <v>0</v>
      </c>
      <c r="M285" s="92">
        <f ca="1">IFERROR(__xludf.DUMMYFUNCTION("IMPORTRANGE(""https://docs.google.com/spreadsheets/d/1MeEWN-I1oV_STSDYn1IFDPWt_1FKiwhDph83XaGc0o0/edit?usp=sharing"",""งบพรบ!DO56"")"),0)</f>
        <v>0</v>
      </c>
      <c r="N285" s="92">
        <f ca="1">IFERROR(__xludf.DUMMYFUNCTION("IMPORTRANGE(""https://docs.google.com/spreadsheets/d/1MeEWN-I1oV_STSDYn1IFDPWt_1FKiwhDph83XaGc0o0/edit?usp=sharing"",""งบพรบ!DQ56"")"),0)</f>
        <v>0</v>
      </c>
      <c r="O285" s="92">
        <f t="shared" ca="1" si="48"/>
        <v>0</v>
      </c>
      <c r="P285" s="92">
        <f t="shared" ca="1" si="49"/>
        <v>0</v>
      </c>
      <c r="Q285" s="22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  <c r="Q286" s="2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IFERROR(__xludf.DUMMYFUNCTION("IMPORTRANGE(""https://docs.google.com/spreadsheets/d/1QqKyyYR6Q21VydFLVH3TRQUabQu_ym0Zz7PgGX0-kHA/edit?usp=sharing"",""แผน!EC56"")"),50)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  <c r="Q287" s="2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0">
        <f ca="1">IF(I288&gt;0,J288*100/I288,0)</f>
        <v>100</v>
      </c>
      <c r="L288" s="162"/>
      <c r="M288" s="162"/>
      <c r="N288" s="162"/>
      <c r="O288" s="162"/>
      <c r="P288" s="162"/>
      <c r="Q288" s="2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  <c r="Q289" s="2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IFERROR(__xludf.DUMMYFUNCTION("IMPORTRANGE(""https://docs.google.com/spreadsheets/d/1QqKyyYR6Q21VydFLVH3TRQUabQu_ym0Zz7PgGX0-kHA/edit?usp=sharing"",""แผน!EB56"")"),5)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  <c r="Q290" s="2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IFERROR(__xludf.DUMMYFUNCTION("IMPORTRANGE(""https://docs.google.com/spreadsheets/d/1QqKyyYR6Q21VydFLVH3TRQUabQu_ym0Zz7PgGX0-kHA/edit?usp=sharing"",""แผน!EB56"")"),5)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  <c r="Q291" s="2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  <c r="Q292" s="22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IFERROR(__xludf.DUMMYFUNCTION("IMPORTRANGE(""https://docs.google.com/spreadsheets/d/1QqKyyYR6Q21VydFLVH3TRQUabQu_ym0Zz7PgGX0-kHA/edit?usp=sharing"",""แผน!EB56"")"),5)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  <c r="Q293" s="2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IFERROR(__xludf.DUMMYFUNCTION("IMPORTRANGE(""https://docs.google.com/spreadsheets/d/1QqKyyYR6Q21VydFLVH3TRQUabQu_ym0Zz7PgGX0-kHA/edit?usp=sharing"",""แผน!EB56"")"),5)</f>
        <v>5</v>
      </c>
      <c r="J294" s="423">
        <v>5</v>
      </c>
      <c r="K294" s="384">
        <f ca="1">IF(I294&gt;0,J294*100/I294,0)</f>
        <v>100</v>
      </c>
      <c r="L294" s="384"/>
      <c r="M294" s="384"/>
      <c r="N294" s="384"/>
      <c r="O294" s="384"/>
      <c r="P294" s="384"/>
      <c r="Q294" s="22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  <c r="Q295" s="22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  <c r="Q296" s="22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  <c r="Q297" s="22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213180</v>
      </c>
      <c r="N298" s="154">
        <f ca="1">N299+N300</f>
        <v>213180</v>
      </c>
      <c r="O298" s="154">
        <f t="shared" ref="O298:O306" ca="1" si="51">IF(L298&gt;0,N298*100/L298,0)</f>
        <v>103.08510638297872</v>
      </c>
      <c r="P298" s="154">
        <f t="shared" ref="P298:P306" ca="1" si="52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3">L302+L305</f>
        <v>0</v>
      </c>
      <c r="M299" s="92">
        <f t="shared" si="53"/>
        <v>0</v>
      </c>
      <c r="N299" s="92">
        <f t="shared" si="53"/>
        <v>0</v>
      </c>
      <c r="O299" s="92">
        <f t="shared" si="51"/>
        <v>0</v>
      </c>
      <c r="P299" s="92">
        <f t="shared" si="52"/>
        <v>0</v>
      </c>
      <c r="Q299" s="22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3"/>
        <v>206800</v>
      </c>
      <c r="M300" s="92">
        <f t="shared" ca="1" si="53"/>
        <v>213180</v>
      </c>
      <c r="N300" s="92">
        <f t="shared" ca="1" si="53"/>
        <v>213180</v>
      </c>
      <c r="O300" s="92">
        <f t="shared" ca="1" si="51"/>
        <v>103.08510638297872</v>
      </c>
      <c r="P300" s="92">
        <f t="shared" ca="1" si="52"/>
        <v>100</v>
      </c>
      <c r="Q300" s="22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213180</v>
      </c>
      <c r="N301" s="497">
        <f ca="1">N302+N303</f>
        <v>213180</v>
      </c>
      <c r="O301" s="497">
        <f t="shared" ca="1" si="51"/>
        <v>103.08510638297872</v>
      </c>
      <c r="P301" s="497">
        <f t="shared" ca="1" si="52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1"/>
        <v>0</v>
      </c>
      <c r="P302" s="92">
        <f t="shared" si="52"/>
        <v>0</v>
      </c>
      <c r="Q302" s="22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IFERROR(__xludf.DUMMYFUNCTION("IMPORTRANGE(""https://docs.google.com/spreadsheets/d/1MeEWN-I1oV_STSDYn1IFDPWt_1FKiwhDph83XaGc0o0/edit?usp=sharing"",""งบพรบ!DS56"")"),206800)</f>
        <v>206800</v>
      </c>
      <c r="M303" s="92">
        <f ca="1">IFERROR(__xludf.DUMMYFUNCTION("IMPORTRANGE(""https://docs.google.com/spreadsheets/d/1MeEWN-I1oV_STSDYn1IFDPWt_1FKiwhDph83XaGc0o0/edit?usp=sharing"",""งบพรบ!DX56"")"),213180)</f>
        <v>213180</v>
      </c>
      <c r="N303" s="92">
        <f ca="1">IFERROR(__xludf.DUMMYFUNCTION("IMPORTRANGE(""https://docs.google.com/spreadsheets/d/1MeEWN-I1oV_STSDYn1IFDPWt_1FKiwhDph83XaGc0o0/edit?usp=sharing"",""งบพรบ!DZ56"")"),213180)</f>
        <v>213180</v>
      </c>
      <c r="O303" s="92">
        <f t="shared" ca="1" si="51"/>
        <v>103.08510638297872</v>
      </c>
      <c r="P303" s="92">
        <f t="shared" ca="1" si="52"/>
        <v>100</v>
      </c>
      <c r="Q303" s="22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1"/>
        <v>0</v>
      </c>
      <c r="P304" s="497">
        <f t="shared" ca="1" si="52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1"/>
        <v>0</v>
      </c>
      <c r="P305" s="92">
        <f t="shared" si="52"/>
        <v>0</v>
      </c>
      <c r="Q305" s="22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IFERROR(__xludf.DUMMYFUNCTION("IMPORTRANGE(""https://docs.google.com/spreadsheets/d/1MeEWN-I1oV_STSDYn1IFDPWt_1FKiwhDph83XaGc0o0/edit?usp=sharing"",""งบพรบ!DV56"")"),0)</f>
        <v>0</v>
      </c>
      <c r="M306" s="92">
        <f ca="1">IFERROR(__xludf.DUMMYFUNCTION("IMPORTRANGE(""https://docs.google.com/spreadsheets/d/1MeEWN-I1oV_STSDYn1IFDPWt_1FKiwhDph83XaGc0o0/edit?usp=sharing"",""งบพรบ!DY56"")"),0)</f>
        <v>0</v>
      </c>
      <c r="N306" s="92">
        <f ca="1">IFERROR(__xludf.DUMMYFUNCTION("IMPORTRANGE(""https://docs.google.com/spreadsheets/d/1MeEWN-I1oV_STSDYn1IFDPWt_1FKiwhDph83XaGc0o0/edit?usp=sharing"",""งบพรบ!EA56"")"),0)</f>
        <v>0</v>
      </c>
      <c r="O306" s="92">
        <f t="shared" ca="1" si="51"/>
        <v>0</v>
      </c>
      <c r="P306" s="92">
        <f t="shared" ca="1" si="52"/>
        <v>0</v>
      </c>
      <c r="Q306" s="22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  <c r="Q307" s="22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  <c r="Q308" s="22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IFERROR(__xludf.DUMMYFUNCTION("IMPORTRANGE(""https://docs.google.com/spreadsheets/d/1QqKyyYR6Q21VydFLVH3TRQUabQu_ym0Zz7PgGX0-kHA/edit?usp=sharing"",""แผน!ED56"")"),15)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  <c r="Q309" s="22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IFERROR(__xludf.DUMMYFUNCTION("IMPORTRANGE(""https://docs.google.com/spreadsheets/d/1QqKyyYR6Q21VydFLVH3TRQUabQu_ym0Zz7PgGX0-kHA/edit?usp=sharing"",""แผน!ED56"")"),15)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  <c r="Q310" s="22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IFERROR(__xludf.DUMMYFUNCTION("IMPORTRANGE(""https://docs.google.com/spreadsheets/d/1QqKyyYR6Q21VydFLVH3TRQUabQu_ym0Zz7PgGX0-kHA/edit?usp=sharing"",""แผน!ED56"")"),15)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  <c r="Q311" s="22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IFERROR(__xludf.DUMMYFUNCTION("IMPORTRANGE(""https://docs.google.com/spreadsheets/d/1QqKyyYR6Q21VydFLVH3TRQUabQu_ym0Zz7PgGX0-kHA/edit?usp=sharing"",""แผน!EE56"")"),3)</f>
        <v>3</v>
      </c>
      <c r="J312" s="214">
        <v>1</v>
      </c>
      <c r="K312" s="497">
        <f ca="1">IF(I312&gt;0,J312*100/I312,0)</f>
        <v>33.333333333333336</v>
      </c>
      <c r="L312" s="497"/>
      <c r="M312" s="497"/>
      <c r="N312" s="497"/>
      <c r="O312" s="497"/>
      <c r="P312" s="497"/>
      <c r="Q312" s="22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  <c r="Q313" s="22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2</v>
      </c>
      <c r="J314" s="443">
        <f>J325</f>
        <v>2</v>
      </c>
      <c r="K314" s="444">
        <f ca="1">IF(I314&gt;0,J314*100/I314,0)</f>
        <v>100</v>
      </c>
      <c r="L314" s="445"/>
      <c r="M314" s="445"/>
      <c r="N314" s="445"/>
      <c r="O314" s="445"/>
      <c r="P314" s="445"/>
      <c r="Q314" s="22"/>
    </row>
    <row r="315" spans="1:26" ht="19.5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153000</v>
      </c>
      <c r="M315" s="154">
        <f ca="1">M316+M317</f>
        <v>153000</v>
      </c>
      <c r="N315" s="154">
        <f ca="1">N316+N317</f>
        <v>153000</v>
      </c>
      <c r="O315" s="154">
        <f t="shared" ref="O315:O323" ca="1" si="54">IF(L315&gt;0,N315*100/L315,0)</f>
        <v>100</v>
      </c>
      <c r="P315" s="154">
        <f t="shared" ref="P315:P323" ca="1" si="55">IF(M315&gt;0,N315*100/M315,0)</f>
        <v>100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6">L319+L322</f>
        <v>0</v>
      </c>
      <c r="M316" s="92">
        <f t="shared" si="56"/>
        <v>0</v>
      </c>
      <c r="N316" s="92">
        <f t="shared" si="56"/>
        <v>0</v>
      </c>
      <c r="O316" s="92">
        <f t="shared" si="54"/>
        <v>0</v>
      </c>
      <c r="P316" s="92">
        <f t="shared" si="55"/>
        <v>0</v>
      </c>
      <c r="Q316" s="22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6"/>
        <v>153000</v>
      </c>
      <c r="M317" s="92">
        <f t="shared" ca="1" si="56"/>
        <v>153000</v>
      </c>
      <c r="N317" s="92">
        <f t="shared" ca="1" si="56"/>
        <v>153000</v>
      </c>
      <c r="O317" s="92">
        <f t="shared" ca="1" si="54"/>
        <v>100</v>
      </c>
      <c r="P317" s="92">
        <f t="shared" ca="1" si="55"/>
        <v>100</v>
      </c>
      <c r="Q317" s="22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153000</v>
      </c>
      <c r="M318" s="497">
        <f ca="1">M319+M320</f>
        <v>153000</v>
      </c>
      <c r="N318" s="497">
        <f ca="1">N319+N320</f>
        <v>153000</v>
      </c>
      <c r="O318" s="497">
        <f t="shared" ca="1" si="54"/>
        <v>100</v>
      </c>
      <c r="P318" s="497">
        <f t="shared" ca="1" si="55"/>
        <v>100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4"/>
        <v>0</v>
      </c>
      <c r="P319" s="92">
        <f t="shared" si="55"/>
        <v>0</v>
      </c>
      <c r="Q319" s="22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IFERROR(__xludf.DUMMYFUNCTION("IMPORTRANGE(""https://docs.google.com/spreadsheets/d/1MeEWN-I1oV_STSDYn1IFDPWt_1FKiwhDph83XaGc0o0/edit?usp=sharing"",""งบพรบ!EC56"")"),153000)</f>
        <v>153000</v>
      </c>
      <c r="M320" s="92">
        <f ca="1">IFERROR(__xludf.DUMMYFUNCTION("IMPORTRANGE(""https://docs.google.com/spreadsheets/d/1MeEWN-I1oV_STSDYn1IFDPWt_1FKiwhDph83XaGc0o0/edit?usp=sharing"",""งบพรบ!EH56"")"),153000)</f>
        <v>153000</v>
      </c>
      <c r="N320" s="92">
        <f ca="1">IFERROR(__xludf.DUMMYFUNCTION("IMPORTRANGE(""https://docs.google.com/spreadsheets/d/1MeEWN-I1oV_STSDYn1IFDPWt_1FKiwhDph83XaGc0o0/edit?usp=sharing"",""งบพรบ!EJ56"")"),153000)</f>
        <v>153000</v>
      </c>
      <c r="O320" s="92">
        <f t="shared" ca="1" si="54"/>
        <v>100</v>
      </c>
      <c r="P320" s="92">
        <f t="shared" ca="1" si="55"/>
        <v>100</v>
      </c>
      <c r="Q320" s="22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4"/>
        <v>0</v>
      </c>
      <c r="P321" s="497">
        <f t="shared" ca="1" si="55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4"/>
        <v>0</v>
      </c>
      <c r="P322" s="92">
        <f t="shared" si="55"/>
        <v>0</v>
      </c>
      <c r="Q322" s="22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IFERROR(__xludf.DUMMYFUNCTION("IMPORTRANGE(""https://docs.google.com/spreadsheets/d/1MeEWN-I1oV_STSDYn1IFDPWt_1FKiwhDph83XaGc0o0/edit?usp=sharing"",""งบพรบ!EF56"")"),0)</f>
        <v>0</v>
      </c>
      <c r="M323" s="92">
        <f ca="1">IFERROR(__xludf.DUMMYFUNCTION("IMPORTRANGE(""https://docs.google.com/spreadsheets/d/1MeEWN-I1oV_STSDYn1IFDPWt_1FKiwhDph83XaGc0o0/edit?usp=sharing"",""งบพรบ!EI56"")"),0)</f>
        <v>0</v>
      </c>
      <c r="N323" s="92">
        <f ca="1">IFERROR(__xludf.DUMMYFUNCTION("IMPORTRANGE(""https://docs.google.com/spreadsheets/d/1MeEWN-I1oV_STSDYn1IFDPWt_1FKiwhDph83XaGc0o0/edit?usp=sharing"",""งบพรบ!EK56"")"),0)</f>
        <v>0</v>
      </c>
      <c r="O323" s="92">
        <f t="shared" ca="1" si="54"/>
        <v>0</v>
      </c>
      <c r="P323" s="92">
        <f t="shared" ca="1" si="55"/>
        <v>0</v>
      </c>
      <c r="Q323" s="22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  <c r="Q324" s="22"/>
    </row>
    <row r="325" spans="1:26" ht="18.75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IFERROR(__xludf.DUMMYFUNCTION("IMPORTRANGE(""https://docs.google.com/spreadsheets/d/1QqKyyYR6Q21VydFLVH3TRQUabQu_ym0Zz7PgGX0-kHA/edit?usp=sharing"",""แผน!EF56"")"),2)</f>
        <v>2</v>
      </c>
      <c r="J325" s="214">
        <v>2</v>
      </c>
      <c r="K325" s="497">
        <f ca="1">IF(I325&gt;0,J325*100/I325,0)</f>
        <v>100</v>
      </c>
      <c r="L325" s="497"/>
      <c r="M325" s="497"/>
      <c r="N325" s="497"/>
      <c r="O325" s="162"/>
      <c r="P325" s="162"/>
      <c r="Q325" s="2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  <c r="Q326" s="22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IFERROR(__xludf.DUMMYFUNCTION("IMPORTRANGE(""https://docs.google.com/spreadsheets/d/1QqKyyYR6Q21VydFLVH3TRQUabQu_ym0Zz7PgGX0-kHA/edit?usp=sharing"",""แผน!EG56"")"),1400)</f>
        <v>1400</v>
      </c>
      <c r="J327" s="443">
        <f ca="1">J338+J341+J342+J343</f>
        <v>3339</v>
      </c>
      <c r="K327" s="444">
        <f ca="1">IF(I327&gt;0,J327*100/I327,0)</f>
        <v>238.5</v>
      </c>
      <c r="L327" s="445"/>
      <c r="M327" s="445"/>
      <c r="N327" s="445"/>
      <c r="O327" s="445"/>
      <c r="P327" s="445"/>
      <c r="Q327" s="22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1016000</v>
      </c>
      <c r="M328" s="154">
        <f ca="1">M329+M330</f>
        <v>1048500</v>
      </c>
      <c r="N328" s="154">
        <f ca="1">N329+N330</f>
        <v>1048500</v>
      </c>
      <c r="O328" s="154">
        <f t="shared" ref="O328:O336" ca="1" si="57">IF(L328&gt;0,N328*100/L328,0)</f>
        <v>103.19881889763779</v>
      </c>
      <c r="P328" s="154">
        <f t="shared" ref="P328:P336" ca="1" si="58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9">L332+L335</f>
        <v>0</v>
      </c>
      <c r="M329" s="92">
        <f t="shared" si="59"/>
        <v>0</v>
      </c>
      <c r="N329" s="92">
        <f t="shared" si="59"/>
        <v>0</v>
      </c>
      <c r="O329" s="92">
        <f t="shared" si="57"/>
        <v>0</v>
      </c>
      <c r="P329" s="92">
        <f t="shared" si="58"/>
        <v>0</v>
      </c>
      <c r="Q329" s="22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9"/>
        <v>1016000</v>
      </c>
      <c r="M330" s="92">
        <f t="shared" ca="1" si="59"/>
        <v>1048500</v>
      </c>
      <c r="N330" s="92">
        <f t="shared" ca="1" si="59"/>
        <v>1048500</v>
      </c>
      <c r="O330" s="92">
        <f t="shared" ca="1" si="57"/>
        <v>103.19881889763779</v>
      </c>
      <c r="P330" s="92">
        <f t="shared" ca="1" si="58"/>
        <v>100</v>
      </c>
      <c r="Q330" s="22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166000</v>
      </c>
      <c r="M331" s="497">
        <f ca="1">M332+M333</f>
        <v>168500</v>
      </c>
      <c r="N331" s="497">
        <f ca="1">N332+N333</f>
        <v>168500</v>
      </c>
      <c r="O331" s="497">
        <f t="shared" ca="1" si="57"/>
        <v>101.50602409638554</v>
      </c>
      <c r="P331" s="497">
        <f t="shared" ca="1" si="58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7"/>
        <v>0</v>
      </c>
      <c r="P332" s="92">
        <f t="shared" si="58"/>
        <v>0</v>
      </c>
      <c r="Q332" s="22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IFERROR(__xludf.DUMMYFUNCTION("IMPORTRANGE(""https://docs.google.com/spreadsheets/d/1MeEWN-I1oV_STSDYn1IFDPWt_1FKiwhDph83XaGc0o0/edit?usp=sharing"",""งบพรบ!EM56"")"),166000)</f>
        <v>166000</v>
      </c>
      <c r="M333" s="92">
        <f ca="1">IFERROR(__xludf.DUMMYFUNCTION("IMPORTRANGE(""https://docs.google.com/spreadsheets/d/1MeEWN-I1oV_STSDYn1IFDPWt_1FKiwhDph83XaGc0o0/edit?usp=sharing"",""งบพรบ!ER56"")"),168500)</f>
        <v>168500</v>
      </c>
      <c r="N333" s="92">
        <f ca="1">IFERROR(__xludf.DUMMYFUNCTION("IMPORTRANGE(""https://docs.google.com/spreadsheets/d/1MeEWN-I1oV_STSDYn1IFDPWt_1FKiwhDph83XaGc0o0/edit?usp=sharing"",""งบพรบ!ET56"")"),168500)</f>
        <v>168500</v>
      </c>
      <c r="O333" s="92">
        <f t="shared" ca="1" si="57"/>
        <v>101.50602409638554</v>
      </c>
      <c r="P333" s="92">
        <f t="shared" ca="1" si="58"/>
        <v>100</v>
      </c>
      <c r="Q333" s="22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850000</v>
      </c>
      <c r="M334" s="497">
        <f ca="1">M335+M336</f>
        <v>880000</v>
      </c>
      <c r="N334" s="497">
        <f ca="1">N335+N336</f>
        <v>880000</v>
      </c>
      <c r="O334" s="497">
        <f t="shared" ca="1" si="57"/>
        <v>103.52941176470588</v>
      </c>
      <c r="P334" s="497">
        <f t="shared" ca="1" si="58"/>
        <v>100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7"/>
        <v>0</v>
      </c>
      <c r="P335" s="92">
        <f t="shared" si="58"/>
        <v>0</v>
      </c>
      <c r="Q335" s="22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IFERROR(__xludf.DUMMYFUNCTION("IMPORTRANGE(""https://docs.google.com/spreadsheets/d/1MeEWN-I1oV_STSDYn1IFDPWt_1FKiwhDph83XaGc0o0/edit?usp=sharing"",""งบพรบ!EP56"")"),850000)</f>
        <v>850000</v>
      </c>
      <c r="M336" s="92">
        <f ca="1">IFERROR(__xludf.DUMMYFUNCTION("IMPORTRANGE(""https://docs.google.com/spreadsheets/d/1MeEWN-I1oV_STSDYn1IFDPWt_1FKiwhDph83XaGc0o0/edit?usp=sharing"",""งบพรบ!ES56"")"),880000)</f>
        <v>880000</v>
      </c>
      <c r="N336" s="92">
        <f ca="1">IFERROR(__xludf.DUMMYFUNCTION("IMPORTRANGE(""https://docs.google.com/spreadsheets/d/1MeEWN-I1oV_STSDYn1IFDPWt_1FKiwhDph83XaGc0o0/edit?usp=sharing"",""งบพรบ!EU56"")"),880000)</f>
        <v>880000</v>
      </c>
      <c r="O336" s="92">
        <f t="shared" ca="1" si="57"/>
        <v>103.52941176470588</v>
      </c>
      <c r="P336" s="92">
        <f t="shared" ca="1" si="58"/>
        <v>100</v>
      </c>
      <c r="Q336" s="22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  <c r="Q337" s="2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IFERROR(__xludf.DUMMYFUNCTION("IMPORTRANGE(""https://docs.google.com/spreadsheets/d/1QqKyyYR6Q21VydFLVH3TRQUabQu_ym0Zz7PgGX0-kHA/edit?usp=sharing"",""แผน!EG56"")"),1400)</f>
        <v>1400</v>
      </c>
      <c r="J338" s="269">
        <f ca="1">IFERROR(__xludf.DUMMYFUNCTION("IMPORTRANGE(""https://docs.google.com/spreadsheets/d/1kVcqe37tkHyjCSG3S0O1AXqVkqjo8mSIZil3BcpIysc/edit?usp=sharing"",""ศูนย์!D56"")"),3132)</f>
        <v>3132</v>
      </c>
      <c r="K338" s="497">
        <f ca="1">IF(I338&gt;0,J338*100/I338,0)</f>
        <v>223.71428571428572</v>
      </c>
      <c r="L338" s="497"/>
      <c r="M338" s="497"/>
      <c r="N338" s="497"/>
      <c r="O338" s="497"/>
      <c r="P338" s="497"/>
      <c r="Q338" s="22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  <c r="Q339" s="22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IFERROR(__xludf.DUMMYFUNCTION("IMPORTRANGE(""https://docs.google.com/spreadsheets/d/1QqKyyYR6Q21VydFLVH3TRQUabQu_ym0Zz7PgGX0-kHA/edit?usp=sharing"",""แผน!EH56"")"),4)</f>
        <v>4</v>
      </c>
      <c r="J340" s="269">
        <f ca="1">IFERROR(__xludf.DUMMYFUNCTION("IMPORTRANGE(""https://docs.google.com/spreadsheets/d/1kVcqe37tkHyjCSG3S0O1AXqVkqjo8mSIZil3BcpIysc/edit?usp=sharing"",""ศูนย์!E56"")"),4)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  <c r="Q340" s="22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IFERROR(__xludf.DUMMYFUNCTION("IMPORTRANGE(""https://docs.google.com/spreadsheets/d/1kVcqe37tkHyjCSG3S0O1AXqVkqjo8mSIZil3BcpIysc/edit?usp=sharing"",""ศูนย์!F56"")"),206)</f>
        <v>206</v>
      </c>
      <c r="K341" s="497"/>
      <c r="L341" s="497"/>
      <c r="M341" s="497"/>
      <c r="N341" s="497"/>
      <c r="O341" s="497"/>
      <c r="P341" s="497"/>
      <c r="Q341" s="22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IFERROR(__xludf.DUMMYFUNCTION("IMPORTRANGE(""https://docs.google.com/spreadsheets/d/1kVcqe37tkHyjCSG3S0O1AXqVkqjo8mSIZil3BcpIysc/edit?usp=sharing"",""ศูนย์!G56"")"),1)</f>
        <v>1</v>
      </c>
      <c r="K342" s="497"/>
      <c r="L342" s="497"/>
      <c r="M342" s="497"/>
      <c r="N342" s="497"/>
      <c r="O342" s="497"/>
      <c r="P342" s="497"/>
      <c r="Q342" s="22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  <c r="Q343" s="22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  <c r="Q344" s="22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867850</v>
      </c>
      <c r="M345" s="154">
        <f ca="1">M346+M347</f>
        <v>904850</v>
      </c>
      <c r="N345" s="154">
        <f ca="1">N346+N347</f>
        <v>904850</v>
      </c>
      <c r="O345" s="154">
        <f t="shared" ref="O345:O353" ca="1" si="60">IF(L345&gt;0,N345*100/L345,0)</f>
        <v>104.26340957538746</v>
      </c>
      <c r="P345" s="154">
        <f t="shared" ref="P345:P353" ca="1" si="61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2">L349+L352</f>
        <v>0</v>
      </c>
      <c r="M346" s="92">
        <f t="shared" si="62"/>
        <v>0</v>
      </c>
      <c r="N346" s="92">
        <f t="shared" si="62"/>
        <v>0</v>
      </c>
      <c r="O346" s="92">
        <f t="shared" si="60"/>
        <v>0</v>
      </c>
      <c r="P346" s="92">
        <f t="shared" si="61"/>
        <v>0</v>
      </c>
      <c r="Q346" s="22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2"/>
        <v>867850</v>
      </c>
      <c r="M347" s="92">
        <f t="shared" ca="1" si="62"/>
        <v>904850</v>
      </c>
      <c r="N347" s="92">
        <f t="shared" ca="1" si="62"/>
        <v>904850</v>
      </c>
      <c r="O347" s="92">
        <f t="shared" ca="1" si="60"/>
        <v>104.26340957538746</v>
      </c>
      <c r="P347" s="92">
        <f t="shared" ca="1" si="61"/>
        <v>100</v>
      </c>
      <c r="Q347" s="22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822850</v>
      </c>
      <c r="M348" s="497">
        <f ca="1">M349+M350</f>
        <v>859850</v>
      </c>
      <c r="N348" s="497">
        <f ca="1">N349+N350</f>
        <v>859850</v>
      </c>
      <c r="O348" s="497">
        <f t="shared" ca="1" si="60"/>
        <v>104.49656681047578</v>
      </c>
      <c r="P348" s="497">
        <f t="shared" ca="1" si="61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60"/>
        <v>0</v>
      </c>
      <c r="P349" s="92">
        <f t="shared" si="61"/>
        <v>0</v>
      </c>
      <c r="Q349" s="22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IFERROR(__xludf.DUMMYFUNCTION("IMPORTRANGE(""https://docs.google.com/spreadsheets/d/1MeEWN-I1oV_STSDYn1IFDPWt_1FKiwhDph83XaGc0o0/edit?usp=sharing"",""งบพรบ!EW56"")"),822850)</f>
        <v>822850</v>
      </c>
      <c r="M350" s="92">
        <f ca="1">IFERROR(__xludf.DUMMYFUNCTION("IMPORTRANGE(""https://docs.google.com/spreadsheets/d/1MeEWN-I1oV_STSDYn1IFDPWt_1FKiwhDph83XaGc0o0/edit?usp=sharing"",""งบพรบ!FB56"")"),859850)</f>
        <v>859850</v>
      </c>
      <c r="N350" s="92">
        <f ca="1">IFERROR(__xludf.DUMMYFUNCTION("IMPORTRANGE(""https://docs.google.com/spreadsheets/d/1MeEWN-I1oV_STSDYn1IFDPWt_1FKiwhDph83XaGc0o0/edit?usp=sharing"",""งบพรบ!FD56"")"),859850)</f>
        <v>859850</v>
      </c>
      <c r="O350" s="92">
        <f t="shared" ca="1" si="60"/>
        <v>104.49656681047578</v>
      </c>
      <c r="P350" s="92">
        <f t="shared" ca="1" si="61"/>
        <v>100</v>
      </c>
      <c r="Q350" s="22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45000</v>
      </c>
      <c r="M351" s="497">
        <f ca="1">M352+M353</f>
        <v>45000</v>
      </c>
      <c r="N351" s="497">
        <f ca="1">N352+N353</f>
        <v>45000</v>
      </c>
      <c r="O351" s="497">
        <f t="shared" ca="1" si="60"/>
        <v>100</v>
      </c>
      <c r="P351" s="497">
        <f t="shared" ca="1" si="61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60"/>
        <v>0</v>
      </c>
      <c r="P352" s="92">
        <f t="shared" si="61"/>
        <v>0</v>
      </c>
      <c r="Q352" s="22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IFERROR(__xludf.DUMMYFUNCTION("IMPORTRANGE(""https://docs.google.com/spreadsheets/d/1MeEWN-I1oV_STSDYn1IFDPWt_1FKiwhDph83XaGc0o0/edit?usp=sharing"",""งบพรบ!EZ56"")"),45000)</f>
        <v>45000</v>
      </c>
      <c r="M353" s="92">
        <f ca="1">IFERROR(__xludf.DUMMYFUNCTION("IMPORTRANGE(""https://docs.google.com/spreadsheets/d/1MeEWN-I1oV_STSDYn1IFDPWt_1FKiwhDph83XaGc0o0/edit?usp=sharing"",""งบพรบ!FC56"")"),45000)</f>
        <v>45000</v>
      </c>
      <c r="N353" s="92">
        <f ca="1">IFERROR(__xludf.DUMMYFUNCTION("IMPORTRANGE(""https://docs.google.com/spreadsheets/d/1MeEWN-I1oV_STSDYn1IFDPWt_1FKiwhDph83XaGc0o0/edit?usp=sharing"",""งบพรบ!FE56"")"),45000)</f>
        <v>45000</v>
      </c>
      <c r="O353" s="92">
        <f t="shared" ca="1" si="60"/>
        <v>100</v>
      </c>
      <c r="P353" s="92">
        <f t="shared" ca="1" si="61"/>
        <v>100</v>
      </c>
      <c r="Q353" s="22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  <c r="Q354" s="22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335</v>
      </c>
      <c r="K355" s="465">
        <f ca="1">IF(I355&gt;0,J355*100/I355,0)</f>
        <v>124.07407407407408</v>
      </c>
      <c r="L355" s="466"/>
      <c r="M355" s="466"/>
      <c r="N355" s="466"/>
      <c r="O355" s="466"/>
      <c r="P355" s="466"/>
      <c r="Q355" s="22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  <c r="Q356" s="22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  <c r="Q357" s="2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IFERROR(__xludf.DUMMYFUNCTION("IMPORTRANGE(""https://docs.google.com/spreadsheets/d/1XWAQStnk-4SwqDmLtmXYiTMKHgktTP8We1SCoS47DrQ/edit?usp=sharing"",""จัดที่ดิน!W56"")"),392)</f>
        <v>392</v>
      </c>
      <c r="K358" s="497">
        <f t="shared" ref="K358:K365" si="63">IF(I358&gt;0,J358*100/I358,0)</f>
        <v>0</v>
      </c>
      <c r="L358" s="162"/>
      <c r="M358" s="162"/>
      <c r="N358" s="162"/>
      <c r="O358" s="162"/>
      <c r="P358" s="162"/>
      <c r="Q358" s="2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IFERROR(__xludf.DUMMYFUNCTION("IMPORTRANGE(""https://docs.google.com/spreadsheets/d/1QqKyyYR6Q21VydFLVH3TRQUabQu_ym0Zz7PgGX0-kHA/edit?usp=sharing"",""แผน!EO56"")"),3000)</f>
        <v>3000</v>
      </c>
      <c r="J359" s="269">
        <f ca="1">IFERROR(__xludf.DUMMYFUNCTION("IMPORTRANGE(""https://docs.google.com/spreadsheets/d/1XWAQStnk-4SwqDmLtmXYiTMKHgktTP8We1SCoS47DrQ/edit?usp=sharing"",""จัดที่ดิน!X56"")"),3857.18)</f>
        <v>3857.18</v>
      </c>
      <c r="K359" s="497">
        <f t="shared" ca="1" si="63"/>
        <v>128.57266666666666</v>
      </c>
      <c r="L359" s="162"/>
      <c r="M359" s="162"/>
      <c r="N359" s="162"/>
      <c r="O359" s="162"/>
      <c r="P359" s="162"/>
      <c r="Q359" s="2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IFERROR(__xludf.DUMMYFUNCTION("IMPORTRANGE(""https://docs.google.com/spreadsheets/d/1QqKyyYR6Q21VydFLVH3TRQUabQu_ym0Zz7PgGX0-kHA/edit?usp=sharing"",""แผน!EP56"")"),270)</f>
        <v>270</v>
      </c>
      <c r="J360" s="269">
        <f ca="1">IFERROR(__xludf.DUMMYFUNCTION("IMPORTRANGE(""https://docs.google.com/spreadsheets/d/1XWAQStnk-4SwqDmLtmXYiTMKHgktTP8We1SCoS47DrQ/edit?usp=sharing"",""จัดที่ดิน!Y56"")"),309)</f>
        <v>309</v>
      </c>
      <c r="K360" s="497">
        <f t="shared" ca="1" si="63"/>
        <v>114.44444444444444</v>
      </c>
      <c r="L360" s="162"/>
      <c r="M360" s="162"/>
      <c r="N360" s="162"/>
      <c r="O360" s="162"/>
      <c r="P360" s="162"/>
      <c r="Q360" s="2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IFERROR(__xludf.DUMMYFUNCTION("IMPORTRANGE(""https://docs.google.com/spreadsheets/d/1XWAQStnk-4SwqDmLtmXYiTMKHgktTP8We1SCoS47DrQ/edit?usp=sharing"",""จัดที่ดิน!Z56"")"),2250.31999999999)</f>
        <v>2250.3199999999902</v>
      </c>
      <c r="K361" s="497">
        <f t="shared" si="63"/>
        <v>0</v>
      </c>
      <c r="L361" s="162"/>
      <c r="M361" s="162"/>
      <c r="N361" s="162"/>
      <c r="O361" s="162"/>
      <c r="P361" s="162"/>
      <c r="Q361" s="2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IFERROR(__xludf.DUMMYFUNCTION("IMPORTRANGE(""https://docs.google.com/spreadsheets/d/1QqKyyYR6Q21VydFLVH3TRQUabQu_ym0Zz7PgGX0-kHA/edit?usp=sharing"",""แผน!EP56"")"),270)</f>
        <v>270</v>
      </c>
      <c r="J362" s="269">
        <f ca="1">IFERROR(__xludf.DUMMYFUNCTION("IMPORTRANGE(""https://docs.google.com/spreadsheets/d/1XWAQStnk-4SwqDmLtmXYiTMKHgktTP8We1SCoS47DrQ/edit?usp=sharing"",""จัดที่ดิน!AA56"")"),335)</f>
        <v>335</v>
      </c>
      <c r="K362" s="497">
        <f t="shared" ca="1" si="63"/>
        <v>124.07407407407408</v>
      </c>
      <c r="L362" s="162"/>
      <c r="M362" s="162"/>
      <c r="N362" s="162"/>
      <c r="O362" s="162"/>
      <c r="P362" s="162"/>
      <c r="Q362" s="2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IFERROR(__xludf.DUMMYFUNCTION("IMPORTRANGE(""https://docs.google.com/spreadsheets/d/1XWAQStnk-4SwqDmLtmXYiTMKHgktTP8We1SCoS47DrQ/edit?usp=sharing"",""จัดที่ดิน!AB56"")"),3408.18999999999)</f>
        <v>3408.1899999999901</v>
      </c>
      <c r="K363" s="497">
        <f t="shared" si="63"/>
        <v>0</v>
      </c>
      <c r="L363" s="162"/>
      <c r="M363" s="162"/>
      <c r="N363" s="162"/>
      <c r="O363" s="162"/>
      <c r="P363" s="162"/>
      <c r="Q363" s="2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420</v>
      </c>
      <c r="J364" s="478">
        <f ca="1">J365+J374</f>
        <v>519</v>
      </c>
      <c r="K364" s="479">
        <f t="shared" ca="1" si="63"/>
        <v>123.57142857142857</v>
      </c>
      <c r="L364" s="480"/>
      <c r="M364" s="480"/>
      <c r="N364" s="480"/>
      <c r="O364" s="480"/>
      <c r="P364" s="480"/>
      <c r="Q364" s="22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203</v>
      </c>
      <c r="K365" s="491">
        <f t="shared" ca="1" si="63"/>
        <v>101.5</v>
      </c>
      <c r="L365" s="492"/>
      <c r="M365" s="492"/>
      <c r="N365" s="492"/>
      <c r="O365" s="492"/>
      <c r="P365" s="492"/>
      <c r="Q365" s="22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22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  <c r="Q367" s="2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IFERROR(__xludf.DUMMYFUNCTION("IMPORTRANGE(""https://docs.google.com/spreadsheets/d/1XWAQStnk-4SwqDmLtmXYiTMKHgktTP8We1SCoS47DrQ/edit?usp=sharing"",""จัดที่ดิน!E56"")"),258)</f>
        <v>258</v>
      </c>
      <c r="K368" s="497">
        <f t="shared" ref="K368:K374" si="64">IF(I368&gt;0,J368*100/I368,0)</f>
        <v>0</v>
      </c>
      <c r="L368" s="162"/>
      <c r="M368" s="162"/>
      <c r="N368" s="162"/>
      <c r="O368" s="162"/>
      <c r="P368" s="162"/>
      <c r="Q368" s="2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IFERROR(__xludf.DUMMYFUNCTION("IMPORTRANGE(""https://docs.google.com/spreadsheets/d/1QqKyyYR6Q21VydFLVH3TRQUabQu_ym0Zz7PgGX0-kHA/edit?usp=sharing"",""แผน!EI56"")"),2000)</f>
        <v>2000</v>
      </c>
      <c r="J369" s="269">
        <f ca="1">IFERROR(__xludf.DUMMYFUNCTION("IMPORTRANGE(""https://docs.google.com/spreadsheets/d/1XWAQStnk-4SwqDmLtmXYiTMKHgktTP8We1SCoS47DrQ/edit?usp=sharing"",""จัดที่ดิน!F56"")"),2795.35)</f>
        <v>2795.35</v>
      </c>
      <c r="K369" s="497">
        <f t="shared" ca="1" si="64"/>
        <v>139.76750000000001</v>
      </c>
      <c r="L369" s="162"/>
      <c r="M369" s="162"/>
      <c r="N369" s="162"/>
      <c r="O369" s="162"/>
      <c r="P369" s="162"/>
      <c r="Q369" s="2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IFERROR(__xludf.DUMMYFUNCTION("IMPORTRANGE(""https://docs.google.com/spreadsheets/d/1QqKyyYR6Q21VydFLVH3TRQUabQu_ym0Zz7PgGX0-kHA/edit?usp=sharing"",""แผน!EJ56"")"),200)</f>
        <v>200</v>
      </c>
      <c r="J370" s="269">
        <f ca="1">IFERROR(__xludf.DUMMYFUNCTION("IMPORTRANGE(""https://docs.google.com/spreadsheets/d/1XWAQStnk-4SwqDmLtmXYiTMKHgktTP8We1SCoS47DrQ/edit?usp=sharing"",""จัดที่ดิน!G56"")"),183)</f>
        <v>183</v>
      </c>
      <c r="K370" s="497">
        <f t="shared" ca="1" si="64"/>
        <v>91.5</v>
      </c>
      <c r="L370" s="162"/>
      <c r="M370" s="162"/>
      <c r="N370" s="162"/>
      <c r="O370" s="162"/>
      <c r="P370" s="162"/>
      <c r="Q370" s="2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IFERROR(__xludf.DUMMYFUNCTION("IMPORTRANGE(""https://docs.google.com/spreadsheets/d/1XWAQStnk-4SwqDmLtmXYiTMKHgktTP8We1SCoS47DrQ/edit?usp=sharing"",""จัดที่ดิน!H56"")"),1279.01)</f>
        <v>1279.01</v>
      </c>
      <c r="K371" s="497">
        <f t="shared" si="64"/>
        <v>0</v>
      </c>
      <c r="L371" s="162"/>
      <c r="M371" s="162"/>
      <c r="N371" s="162"/>
      <c r="O371" s="162"/>
      <c r="P371" s="162"/>
      <c r="Q371" s="2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IFERROR(__xludf.DUMMYFUNCTION("IMPORTRANGE(""https://docs.google.com/spreadsheets/d/1QqKyyYR6Q21VydFLVH3TRQUabQu_ym0Zz7PgGX0-kHA/edit?usp=sharing"",""แผน!EJ56"")"),200)</f>
        <v>200</v>
      </c>
      <c r="J372" s="269">
        <f ca="1">IFERROR(__xludf.DUMMYFUNCTION("IMPORTRANGE(""https://docs.google.com/spreadsheets/d/1XWAQStnk-4SwqDmLtmXYiTMKHgktTP8We1SCoS47DrQ/edit?usp=sharing"",""จัดที่ดิน!I56"")"),203)</f>
        <v>203</v>
      </c>
      <c r="K372" s="497">
        <f t="shared" ca="1" si="64"/>
        <v>101.5</v>
      </c>
      <c r="L372" s="162"/>
      <c r="M372" s="162"/>
      <c r="N372" s="162"/>
      <c r="O372" s="162"/>
      <c r="P372" s="162"/>
      <c r="Q372" s="2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IFERROR(__xludf.DUMMYFUNCTION("IMPORTRANGE(""https://docs.google.com/spreadsheets/d/1XWAQStnk-4SwqDmLtmXYiTMKHgktTP8We1SCoS47DrQ/edit?usp=sharing"",""จัดที่ดิน!J56"")"),2356.41)</f>
        <v>2356.41</v>
      </c>
      <c r="K373" s="497">
        <f t="shared" si="64"/>
        <v>0</v>
      </c>
      <c r="L373" s="162"/>
      <c r="M373" s="162"/>
      <c r="N373" s="162"/>
      <c r="O373" s="162"/>
      <c r="P373" s="162"/>
      <c r="Q373" s="2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316</v>
      </c>
      <c r="K374" s="491">
        <f t="shared" ca="1" si="64"/>
        <v>143.63636363636363</v>
      </c>
      <c r="L374" s="492"/>
      <c r="M374" s="492"/>
      <c r="N374" s="492"/>
      <c r="O374" s="492"/>
      <c r="P374" s="492"/>
      <c r="Q374" s="22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22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  <c r="Q376" s="2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IFERROR(__xludf.DUMMYFUNCTION("IMPORTRANGE(""https://docs.google.com/spreadsheets/d/1XWAQStnk-4SwqDmLtmXYiTMKHgktTP8We1SCoS47DrQ/edit?usp=sharing"",""จัดที่ดิน!AH56"")"),134)</f>
        <v>134</v>
      </c>
      <c r="K377" s="497">
        <f t="shared" ref="K377:K382" si="65">IF(I377&gt;0,J377*100/I377,0)</f>
        <v>0</v>
      </c>
      <c r="L377" s="162"/>
      <c r="M377" s="162"/>
      <c r="N377" s="162"/>
      <c r="O377" s="162"/>
      <c r="P377" s="162"/>
      <c r="Q377" s="2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IFERROR(__xludf.DUMMYFUNCTION("IMPORTRANGE(""https://docs.google.com/spreadsheets/d/1QqKyyYR6Q21VydFLVH3TRQUabQu_ym0Zz7PgGX0-kHA/edit?usp=sharing"",""แผน!ET56"")"),1000)</f>
        <v>1000</v>
      </c>
      <c r="J378" s="269">
        <f ca="1">IFERROR(__xludf.DUMMYFUNCTION("IMPORTRANGE(""https://docs.google.com/spreadsheets/d/1XWAQStnk-4SwqDmLtmXYiTMKHgktTP8We1SCoS47DrQ/edit?usp=sharing"",""จัดที่ดิน!AI56"")"),1061.83)</f>
        <v>1061.83</v>
      </c>
      <c r="K378" s="497">
        <f t="shared" ca="1" si="65"/>
        <v>106.18300000000001</v>
      </c>
      <c r="L378" s="162"/>
      <c r="M378" s="162"/>
      <c r="N378" s="162"/>
      <c r="O378" s="162"/>
      <c r="P378" s="162"/>
      <c r="Q378" s="2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IFERROR(__xludf.DUMMYFUNCTION("IMPORTRANGE(""https://docs.google.com/spreadsheets/d/1QqKyyYR6Q21VydFLVH3TRQUabQu_ym0Zz7PgGX0-kHA/edit?usp=sharing"",""แผน!EU56"")"),220)</f>
        <v>220</v>
      </c>
      <c r="J379" s="269">
        <f ca="1">IFERROR(__xludf.DUMMYFUNCTION("IMPORTRANGE(""https://docs.google.com/spreadsheets/d/1XWAQStnk-4SwqDmLtmXYiTMKHgktTP8We1SCoS47DrQ/edit?usp=sharing"",""จัดที่ดิน!AJ56"")"),311)</f>
        <v>311</v>
      </c>
      <c r="K379" s="497">
        <f t="shared" ca="1" si="65"/>
        <v>141.36363636363637</v>
      </c>
      <c r="L379" s="162"/>
      <c r="M379" s="162"/>
      <c r="N379" s="162"/>
      <c r="O379" s="162"/>
      <c r="P379" s="162"/>
      <c r="Q379" s="2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IFERROR(__xludf.DUMMYFUNCTION("IMPORTRANGE(""https://docs.google.com/spreadsheets/d/1XWAQStnk-4SwqDmLtmXYiTMKHgktTP8We1SCoS47DrQ/edit?usp=sharing"",""จัดที่ดิน!AK56"")"),4086.39)</f>
        <v>4086.39</v>
      </c>
      <c r="K380" s="497">
        <f t="shared" si="65"/>
        <v>0</v>
      </c>
      <c r="L380" s="162"/>
      <c r="M380" s="162"/>
      <c r="N380" s="162"/>
      <c r="O380" s="162"/>
      <c r="P380" s="162"/>
      <c r="Q380" s="2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IFERROR(__xludf.DUMMYFUNCTION("IMPORTRANGE(""https://docs.google.com/spreadsheets/d/1QqKyyYR6Q21VydFLVH3TRQUabQu_ym0Zz7PgGX0-kHA/edit?usp=sharing"",""แผน!EU56"")"),220)</f>
        <v>220</v>
      </c>
      <c r="J381" s="269">
        <f ca="1">IFERROR(__xludf.DUMMYFUNCTION("IMPORTRANGE(""https://docs.google.com/spreadsheets/d/1XWAQStnk-4SwqDmLtmXYiTMKHgktTP8We1SCoS47DrQ/edit?usp=sharing"",""จัดที่ดิน!AL56"")"),316)</f>
        <v>316</v>
      </c>
      <c r="K381" s="497">
        <f t="shared" ca="1" si="65"/>
        <v>143.63636363636363</v>
      </c>
      <c r="L381" s="162"/>
      <c r="M381" s="162"/>
      <c r="N381" s="162"/>
      <c r="O381" s="162"/>
      <c r="P381" s="162"/>
      <c r="Q381" s="2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IFERROR(__xludf.DUMMYFUNCTION("IMPORTRANGE(""https://docs.google.com/spreadsheets/d/1XWAQStnk-4SwqDmLtmXYiTMKHgktTP8We1SCoS47DrQ/edit?usp=sharing"",""จัดที่ดิน!AM56"")"),4148.09)</f>
        <v>4148.09</v>
      </c>
      <c r="K382" s="497">
        <f t="shared" si="65"/>
        <v>0</v>
      </c>
      <c r="L382" s="162"/>
      <c r="M382" s="162"/>
      <c r="N382" s="162"/>
      <c r="O382" s="162"/>
      <c r="P382" s="162"/>
      <c r="Q382" s="2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  <c r="Q383" s="22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  <c r="Q384" s="2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IFERROR(__xludf.DUMMYFUNCTION("IMPORTRANGE(""https://docs.google.com/spreadsheets/d/1QqKyyYR6Q21VydFLVH3TRQUabQu_ym0Zz7PgGX0-kHA/edit?usp=sharing"",""แผน!EW56"")"),17)</f>
        <v>17</v>
      </c>
      <c r="J385" s="501">
        <f ca="1">IFERROR(__xludf.DUMMYFUNCTION("IMPORTRANGE(""https://docs.google.com/spreadsheets/d/1XWAQStnk-4SwqDmLtmXYiTMKHgktTP8We1SCoS47DrQ/edit?usp=sharing"",""จัดที่ดิน!AP56"")"),17)</f>
        <v>17</v>
      </c>
      <c r="K385" s="502">
        <f ca="1">IF(I385&gt;0,J385*100/I385,0)</f>
        <v>100</v>
      </c>
      <c r="L385" s="384"/>
      <c r="M385" s="384"/>
      <c r="N385" s="384"/>
      <c r="O385" s="384"/>
      <c r="P385" s="384"/>
      <c r="Q385" s="22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  <c r="Q386" s="22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  <c r="Q387" s="22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  <c r="Q388" s="22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6">IF(L389&gt;0,N389*100/L389,0)</f>
        <v>0</v>
      </c>
      <c r="P389" s="154">
        <f t="shared" ref="P389:P397" ca="1" si="67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8">L393+L396</f>
        <v>0</v>
      </c>
      <c r="M390" s="92">
        <f t="shared" si="68"/>
        <v>0</v>
      </c>
      <c r="N390" s="92">
        <f t="shared" si="68"/>
        <v>0</v>
      </c>
      <c r="O390" s="92">
        <f t="shared" si="66"/>
        <v>0</v>
      </c>
      <c r="P390" s="92">
        <f t="shared" si="67"/>
        <v>0</v>
      </c>
      <c r="Q390" s="22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8"/>
        <v>0</v>
      </c>
      <c r="M391" s="92">
        <f t="shared" ca="1" si="68"/>
        <v>0</v>
      </c>
      <c r="N391" s="92">
        <f t="shared" ca="1" si="68"/>
        <v>0</v>
      </c>
      <c r="O391" s="92">
        <f t="shared" ca="1" si="66"/>
        <v>0</v>
      </c>
      <c r="P391" s="92">
        <f t="shared" ca="1" si="67"/>
        <v>0</v>
      </c>
      <c r="Q391" s="22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6"/>
        <v>0</v>
      </c>
      <c r="P392" s="497">
        <f t="shared" ca="1" si="67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6"/>
        <v>0</v>
      </c>
      <c r="P393" s="92">
        <f t="shared" si="67"/>
        <v>0</v>
      </c>
      <c r="Q393" s="22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IFERROR(__xludf.DUMMYFUNCTION("IMPORTRANGE(""https://docs.google.com/spreadsheets/d/1MeEWN-I1oV_STSDYn1IFDPWt_1FKiwhDph83XaGc0o0/edit?usp=sharing"",""งบพรบ!FG56"")"),0)</f>
        <v>0</v>
      </c>
      <c r="M394" s="92">
        <f ca="1">IFERROR(__xludf.DUMMYFUNCTION("IMPORTRANGE(""https://docs.google.com/spreadsheets/d/1MeEWN-I1oV_STSDYn1IFDPWt_1FKiwhDph83XaGc0o0/edit?usp=sharing"",""งบพรบ!FL56"")"),0)</f>
        <v>0</v>
      </c>
      <c r="N394" s="92">
        <f ca="1">IFERROR(__xludf.DUMMYFUNCTION("IMPORTRANGE(""https://docs.google.com/spreadsheets/d/1MeEWN-I1oV_STSDYn1IFDPWt_1FKiwhDph83XaGc0o0/edit?usp=sharing"",""งบพรบ!FN56"")"),0)</f>
        <v>0</v>
      </c>
      <c r="O394" s="92">
        <f t="shared" ca="1" si="66"/>
        <v>0</v>
      </c>
      <c r="P394" s="92">
        <f t="shared" ca="1" si="67"/>
        <v>0</v>
      </c>
      <c r="Q394" s="22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6"/>
        <v>0</v>
      </c>
      <c r="P395" s="497">
        <f t="shared" ca="1" si="67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6"/>
        <v>0</v>
      </c>
      <c r="P396" s="92">
        <f t="shared" si="67"/>
        <v>0</v>
      </c>
      <c r="Q396" s="22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IFERROR(__xludf.DUMMYFUNCTION("IMPORTRANGE(""https://docs.google.com/spreadsheets/d/1MeEWN-I1oV_STSDYn1IFDPWt_1FKiwhDph83XaGc0o0/edit?usp=sharing"",""งบพรบ!FJ56"")"),0)</f>
        <v>0</v>
      </c>
      <c r="M397" s="92">
        <f ca="1">IFERROR(__xludf.DUMMYFUNCTION("IMPORTRANGE(""https://docs.google.com/spreadsheets/d/1MeEWN-I1oV_STSDYn1IFDPWt_1FKiwhDph83XaGc0o0/edit?usp=sharing"",""งบพรบ!FM56"")"),0)</f>
        <v>0</v>
      </c>
      <c r="N397" s="92">
        <f ca="1">IFERROR(__xludf.DUMMYFUNCTION("IMPORTRANGE(""https://docs.google.com/spreadsheets/d/1MeEWN-I1oV_STSDYn1IFDPWt_1FKiwhDph83XaGc0o0/edit?usp=sharing"",""งบพรบ!FO56"")"),0)</f>
        <v>0</v>
      </c>
      <c r="O397" s="92">
        <f t="shared" ca="1" si="66"/>
        <v>0</v>
      </c>
      <c r="P397" s="92">
        <f t="shared" ca="1" si="67"/>
        <v>0</v>
      </c>
      <c r="Q397" s="22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  <c r="Q398" s="2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  <c r="Q400" s="22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  <c r="Q401" s="22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9">IF(L402&gt;0,N402*100/L402,0)</f>
        <v>0</v>
      </c>
      <c r="P402" s="154">
        <f t="shared" ref="P402:P410" ca="1" si="70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1">L406+L409</f>
        <v>0</v>
      </c>
      <c r="M403" s="92">
        <f t="shared" si="71"/>
        <v>0</v>
      </c>
      <c r="N403" s="92">
        <f t="shared" si="71"/>
        <v>0</v>
      </c>
      <c r="O403" s="92">
        <f t="shared" si="69"/>
        <v>0</v>
      </c>
      <c r="P403" s="92">
        <f t="shared" si="70"/>
        <v>0</v>
      </c>
      <c r="Q403" s="22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1"/>
        <v>0</v>
      </c>
      <c r="M404" s="92">
        <f t="shared" ca="1" si="71"/>
        <v>0</v>
      </c>
      <c r="N404" s="92">
        <f t="shared" ca="1" si="71"/>
        <v>0</v>
      </c>
      <c r="O404" s="92">
        <f t="shared" ca="1" si="69"/>
        <v>0</v>
      </c>
      <c r="P404" s="92">
        <f t="shared" ca="1" si="70"/>
        <v>0</v>
      </c>
      <c r="Q404" s="22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9"/>
        <v>0</v>
      </c>
      <c r="P405" s="497">
        <f t="shared" ca="1" si="70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9"/>
        <v>0</v>
      </c>
      <c r="P406" s="92">
        <f t="shared" si="70"/>
        <v>0</v>
      </c>
      <c r="Q406" s="22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IFERROR(__xludf.DUMMYFUNCTION("IMPORTRANGE(""https://docs.google.com/spreadsheets/d/1MeEWN-I1oV_STSDYn1IFDPWt_1FKiwhDph83XaGc0o0/edit?usp=sharing"",""งบพรบ!FQ56"")"),0)</f>
        <v>0</v>
      </c>
      <c r="M407" s="92">
        <f ca="1">IFERROR(__xludf.DUMMYFUNCTION("IMPORTRANGE(""https://docs.google.com/spreadsheets/d/1MeEWN-I1oV_STSDYn1IFDPWt_1FKiwhDph83XaGc0o0/edit?usp=sharing"",""งบพรบ!FV56"")"),0)</f>
        <v>0</v>
      </c>
      <c r="N407" s="92">
        <f ca="1">IFERROR(__xludf.DUMMYFUNCTION("IMPORTRANGE(""https://docs.google.com/spreadsheets/d/1MeEWN-I1oV_STSDYn1IFDPWt_1FKiwhDph83XaGc0o0/edit?usp=sharing"",""งบพรบ!FX56"")"),0)</f>
        <v>0</v>
      </c>
      <c r="O407" s="92">
        <f t="shared" ca="1" si="69"/>
        <v>0</v>
      </c>
      <c r="P407" s="92">
        <f t="shared" ca="1" si="70"/>
        <v>0</v>
      </c>
      <c r="Q407" s="22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9"/>
        <v>0</v>
      </c>
      <c r="P408" s="497">
        <f t="shared" ca="1" si="70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9"/>
        <v>0</v>
      </c>
      <c r="P409" s="92">
        <f t="shared" si="70"/>
        <v>0</v>
      </c>
      <c r="Q409" s="22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IFERROR(__xludf.DUMMYFUNCTION("IMPORTRANGE(""https://docs.google.com/spreadsheets/d/1MeEWN-I1oV_STSDYn1IFDPWt_1FKiwhDph83XaGc0o0/edit?usp=sharing"",""งบพรบ!FT56"")"),0)</f>
        <v>0</v>
      </c>
      <c r="M410" s="92">
        <f ca="1">IFERROR(__xludf.DUMMYFUNCTION("IMPORTRANGE(""https://docs.google.com/spreadsheets/d/1MeEWN-I1oV_STSDYn1IFDPWt_1FKiwhDph83XaGc0o0/edit?usp=sharing"",""งบพรบ!FW56"")"),0)</f>
        <v>0</v>
      </c>
      <c r="N410" s="92">
        <f ca="1">IFERROR(__xludf.DUMMYFUNCTION("IMPORTRANGE(""https://docs.google.com/spreadsheets/d/1MeEWN-I1oV_STSDYn1IFDPWt_1FKiwhDph83XaGc0o0/edit?usp=sharing"",""งบพรบ!FY56"")"),0)</f>
        <v>0</v>
      </c>
      <c r="O410" s="92">
        <f t="shared" ca="1" si="69"/>
        <v>0</v>
      </c>
      <c r="P410" s="92">
        <f t="shared" ca="1" si="70"/>
        <v>0</v>
      </c>
      <c r="Q410" s="22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  <c r="Q411" s="2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  <c r="Q412" s="2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  <c r="Q413" s="2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1362418</v>
      </c>
      <c r="M414" s="549">
        <f ca="1">M419+M444+M467+M502+M523+M544+M629+M655+M685+M737+M754+M770+M786+M805</f>
        <v>1333563</v>
      </c>
      <c r="N414" s="549">
        <f>N419+N444+N467+N502+N523+N544+N629+N655+N685+N737+N754+N770+N786+N805</f>
        <v>1333563</v>
      </c>
      <c r="O414" s="549">
        <f ca="1">IF(L414&gt;0,N414*100/L414,0)</f>
        <v>97.88207437071442</v>
      </c>
      <c r="P414" s="549">
        <f ca="1">IF(M414&gt;0,N414*100/M414,0)</f>
        <v>100</v>
      </c>
      <c r="Q414" s="22"/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  <c r="Q415" s="22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  <c r="Q416" s="22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  <c r="Q417" s="22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  <c r="Q418" s="22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60829</v>
      </c>
      <c r="N419" s="154">
        <f>N420+N421</f>
        <v>60829</v>
      </c>
      <c r="O419" s="154">
        <f t="shared" ref="O419:O424" ca="1" si="72">IF(L419&gt;0,N419*100/L419,0)</f>
        <v>77.331553521484878</v>
      </c>
      <c r="P419" s="154">
        <f t="shared" ref="P419:P424" ca="1" si="73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4">L423+L430</f>
        <v>0</v>
      </c>
      <c r="M420" s="92">
        <f t="shared" si="74"/>
        <v>0</v>
      </c>
      <c r="N420" s="92">
        <f t="shared" si="74"/>
        <v>0</v>
      </c>
      <c r="O420" s="92">
        <f t="shared" si="72"/>
        <v>0</v>
      </c>
      <c r="P420" s="92">
        <f t="shared" si="73"/>
        <v>0</v>
      </c>
      <c r="Q420" s="22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4"/>
        <v>78660</v>
      </c>
      <c r="M421" s="92">
        <f t="shared" ca="1" si="74"/>
        <v>60829</v>
      </c>
      <c r="N421" s="92">
        <f t="shared" si="74"/>
        <v>60829</v>
      </c>
      <c r="O421" s="92">
        <f t="shared" ca="1" si="72"/>
        <v>77.331553521484878</v>
      </c>
      <c r="P421" s="92">
        <f t="shared" ca="1" si="73"/>
        <v>100</v>
      </c>
      <c r="Q421" s="22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60829</v>
      </c>
      <c r="N422" s="497">
        <f>N423+N424</f>
        <v>60829</v>
      </c>
      <c r="O422" s="497">
        <f t="shared" ca="1" si="72"/>
        <v>77.331553521484878</v>
      </c>
      <c r="P422" s="497">
        <f t="shared" ca="1" si="73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2"/>
        <v>0</v>
      </c>
      <c r="P423" s="92">
        <f t="shared" si="73"/>
        <v>0</v>
      </c>
      <c r="Q423" s="22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IFERROR(__xludf.DUMMYFUNCTION("IMPORTRANGE(""https://docs.google.com/spreadsheets/d/1QqKyyYR6Q21VydFLVH3TRQUabQu_ym0Zz7PgGX0-kHA/edit?usp=sharing"",""แผน!EY56"")"),78660)</f>
        <v>78660</v>
      </c>
      <c r="M424" s="92">
        <f ca="1">L424+16800-34631</f>
        <v>60829</v>
      </c>
      <c r="N424" s="92">
        <f>N425+N426+N427+N428</f>
        <v>60829</v>
      </c>
      <c r="O424" s="92">
        <f t="shared" ca="1" si="72"/>
        <v>77.331553521484878</v>
      </c>
      <c r="P424" s="92">
        <f t="shared" ca="1" si="73"/>
        <v>100</v>
      </c>
      <c r="Q424" s="22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45829</v>
      </c>
      <c r="O425" s="497"/>
      <c r="P425" s="497"/>
      <c r="Q425" s="22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22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22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11960+3600-560</f>
        <v>15000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22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IFERROR(__xludf.DUMMYFUNCTION("IMPORTRANGE(""https://docs.google.com/spreadsheets/d/1QqKyyYR6Q21VydFLVH3TRQUabQu_ym0Zz7PgGX0-kHA/edit?usp=sharing"",""แผน!FB56"")"),0)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22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75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IFERROR(__xludf.DUMMYFUNCTION("IMPORTRANGE(""https://docs.google.com/spreadsheets/d/1QqKyyYR6Q21VydFLVH3TRQUabQu_ym0Zz7PgGX0-kHA/edit?usp=sharing"",""แผน!FE56"")"),0)</f>
        <v>0</v>
      </c>
      <c r="J438" s="214">
        <v>0</v>
      </c>
      <c r="K438" s="497">
        <f t="shared" ca="1" si="75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75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IFERROR(__xludf.DUMMYFUNCTION("IMPORTRANGE(""https://docs.google.com/spreadsheets/d/1QqKyyYR6Q21VydFLVH3TRQUabQu_ym0Zz7PgGX0-kHA/edit?usp=sharing"",""แผน!FG56"")"),1)</f>
        <v>1</v>
      </c>
      <c r="J440" s="214">
        <v>1</v>
      </c>
      <c r="K440" s="497">
        <f t="shared" ca="1" si="75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IFERROR(__xludf.DUMMYFUNCTION("IMPORTRANGE(""https://docs.google.com/spreadsheets/d/1QqKyyYR6Q21VydFLVH3TRQUabQu_ym0Zz7PgGX0-kHA/edit?usp=sharing"",""แผน!FH56"")"),0)</f>
        <v>0</v>
      </c>
      <c r="J441" s="269">
        <v>0</v>
      </c>
      <c r="K441" s="497">
        <f t="shared" ca="1" si="75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15</v>
      </c>
      <c r="J442" s="585">
        <f>J460</f>
        <v>15</v>
      </c>
      <c r="K442" s="586">
        <f t="shared" ca="1" si="75"/>
        <v>100</v>
      </c>
      <c r="L442" s="587"/>
      <c r="M442" s="587"/>
      <c r="N442" s="587"/>
      <c r="O442" s="587"/>
      <c r="P442" s="587"/>
      <c r="Q442" s="22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15</v>
      </c>
      <c r="J443" s="565">
        <f>J462</f>
        <v>15</v>
      </c>
      <c r="K443" s="566">
        <f t="shared" ca="1" si="75"/>
        <v>100</v>
      </c>
      <c r="L443" s="567"/>
      <c r="M443" s="567"/>
      <c r="N443" s="567"/>
      <c r="O443" s="567"/>
      <c r="P443" s="567"/>
      <c r="Q443" s="22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68160</v>
      </c>
      <c r="M444" s="194">
        <f ca="1">M445+M446</f>
        <v>69660</v>
      </c>
      <c r="N444" s="194">
        <f>N445+N446</f>
        <v>69660</v>
      </c>
      <c r="O444" s="194">
        <f t="shared" ref="O444:O449" ca="1" si="76">IF(L444&gt;0,N444*100/L444,0)</f>
        <v>102.20070422535211</v>
      </c>
      <c r="P444" s="194">
        <f t="shared" ref="P444:P449" ca="1" si="77">IF(M444&gt;0,N444*100/M444,0)</f>
        <v>100</v>
      </c>
      <c r="Q444" s="874">
        <f ca="1">M444-N444</f>
        <v>0</v>
      </c>
      <c r="R444" s="573" t="s">
        <v>340</v>
      </c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8">L448+L455</f>
        <v>0</v>
      </c>
      <c r="M445" s="92">
        <f t="shared" si="78"/>
        <v>0</v>
      </c>
      <c r="N445" s="92">
        <f t="shared" si="78"/>
        <v>0</v>
      </c>
      <c r="O445" s="92">
        <f t="shared" si="76"/>
        <v>0</v>
      </c>
      <c r="P445" s="92">
        <f t="shared" si="77"/>
        <v>0</v>
      </c>
      <c r="Q445" s="22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8"/>
        <v>68160</v>
      </c>
      <c r="M446" s="92">
        <f t="shared" ca="1" si="78"/>
        <v>69660</v>
      </c>
      <c r="N446" s="92">
        <f t="shared" si="78"/>
        <v>69660</v>
      </c>
      <c r="O446" s="92">
        <f t="shared" ca="1" si="76"/>
        <v>102.20070422535211</v>
      </c>
      <c r="P446" s="92">
        <f t="shared" ca="1" si="77"/>
        <v>100</v>
      </c>
      <c r="Q446" s="22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68160</v>
      </c>
      <c r="M447" s="497">
        <f ca="1">M448+M449</f>
        <v>69660</v>
      </c>
      <c r="N447" s="497">
        <f>N448+N449</f>
        <v>69660</v>
      </c>
      <c r="O447" s="497">
        <f t="shared" ca="1" si="76"/>
        <v>102.20070422535211</v>
      </c>
      <c r="P447" s="497">
        <f t="shared" ca="1" si="77"/>
        <v>100</v>
      </c>
      <c r="Q447" s="22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6"/>
        <v>0</v>
      </c>
      <c r="P448" s="92">
        <f t="shared" si="77"/>
        <v>0</v>
      </c>
      <c r="Q448" s="22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IFERROR(__xludf.DUMMYFUNCTION("IMPORTRANGE(""https://docs.google.com/spreadsheets/d/1QqKyyYR6Q21VydFLVH3TRQUabQu_ym0Zz7PgGX0-kHA/edit?usp=sharing"",""แผน!FJ56"")"),68160)</f>
        <v>68160</v>
      </c>
      <c r="M449" s="92">
        <f ca="1">L449+1500</f>
        <v>69660</v>
      </c>
      <c r="N449" s="92">
        <f>N450+N451+N452+N453</f>
        <v>69660</v>
      </c>
      <c r="O449" s="92">
        <f t="shared" ca="1" si="76"/>
        <v>102.20070422535211</v>
      </c>
      <c r="P449" s="92">
        <f t="shared" ca="1" si="77"/>
        <v>100</v>
      </c>
      <c r="Q449" s="22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21740</v>
      </c>
      <c r="O450" s="497"/>
      <c r="P450" s="497"/>
      <c r="Q450" s="22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17000</v>
      </c>
      <c r="O451" s="497"/>
      <c r="P451" s="497"/>
      <c r="Q451" s="22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22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f>15570+675+9735+2200+2740</f>
        <v>30920</v>
      </c>
      <c r="O453" s="497"/>
      <c r="P453" s="497"/>
      <c r="Q453" s="22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22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22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IFERROR(__xludf.DUMMYFUNCTION("IMPORTRANGE(""https://docs.google.com/spreadsheets/d/1QqKyyYR6Q21VydFLVH3TRQUabQu_ym0Zz7PgGX0-kHA/edit?usp=sharing"",""แผน!FM56"")"),0)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22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22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22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22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IFERROR(__xludf.DUMMYFUNCTION("IMPORTRANGE(""https://docs.google.com/spreadsheets/d/1QqKyyYR6Q21VydFLVH3TRQUabQu_ym0Zz7PgGX0-kHA/edit?usp=sharing"",""แผน!FN56"")"),15)</f>
        <v>15</v>
      </c>
      <c r="J460" s="214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22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22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IFERROR(__xludf.DUMMYFUNCTION("IMPORTRANGE(""https://docs.google.com/spreadsheets/d/1QqKyyYR6Q21VydFLVH3TRQUabQu_ym0Zz7PgGX0-kHA/edit?usp=sharing"",""แผน!FO56"")"),15)</f>
        <v>15</v>
      </c>
      <c r="J462" s="214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22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IFERROR(__xludf.DUMMYFUNCTION("IMPORTRANGE(""https://docs.google.com/spreadsheets/d/1QqKyyYR6Q21VydFLVH3TRQUabQu_ym0Zz7PgGX0-kHA/edit?usp=sharing"",""แผน!FO56"")"),15)</f>
        <v>15</v>
      </c>
      <c r="J463" s="214">
        <v>15</v>
      </c>
      <c r="K463" s="497"/>
      <c r="L463" s="497"/>
      <c r="M463" s="497"/>
      <c r="N463" s="497"/>
      <c r="O463" s="497"/>
      <c r="P463" s="497"/>
      <c r="Q463" s="22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IFERROR(__xludf.DUMMYFUNCTION("IMPORTRANGE(""https://docs.google.com/spreadsheets/d/1QqKyyYR6Q21VydFLVH3TRQUabQu_ym0Zz7PgGX0-kHA/edit?usp=sharing"",""แผน!FN56"")"),15)</f>
        <v>15</v>
      </c>
      <c r="J464" s="214">
        <v>15</v>
      </c>
      <c r="K464" s="497"/>
      <c r="L464" s="497"/>
      <c r="M464" s="497"/>
      <c r="N464" s="497"/>
      <c r="O464" s="497"/>
      <c r="P464" s="497"/>
      <c r="Q464" s="22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22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400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22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327863</v>
      </c>
      <c r="M467" s="194">
        <f ca="1">M468+M469</f>
        <v>306487</v>
      </c>
      <c r="N467" s="194">
        <f>N468+N469</f>
        <v>306487</v>
      </c>
      <c r="O467" s="194">
        <f t="shared" ref="O467:O472" ca="1" si="79">IF(L467&gt;0,N467*100/L467,0)</f>
        <v>93.480203621634644</v>
      </c>
      <c r="P467" s="194">
        <f t="shared" ref="P467:P472" ca="1" si="80">IF(M467&gt;0,N467*100/M467,0)</f>
        <v>100</v>
      </c>
      <c r="Q467" s="874">
        <f ca="1">M467-N467</f>
        <v>0</v>
      </c>
      <c r="R467" s="22" t="s">
        <v>339</v>
      </c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1">L471+L478</f>
        <v>0</v>
      </c>
      <c r="M468" s="92">
        <f t="shared" si="81"/>
        <v>0</v>
      </c>
      <c r="N468" s="92">
        <f t="shared" si="81"/>
        <v>0</v>
      </c>
      <c r="O468" s="92">
        <f t="shared" si="79"/>
        <v>0</v>
      </c>
      <c r="P468" s="92">
        <f t="shared" si="80"/>
        <v>0</v>
      </c>
      <c r="Q468" s="22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1"/>
        <v>327863</v>
      </c>
      <c r="M469" s="92">
        <f t="shared" ca="1" si="81"/>
        <v>306487</v>
      </c>
      <c r="N469" s="92">
        <f t="shared" si="81"/>
        <v>306487</v>
      </c>
      <c r="O469" s="92">
        <f t="shared" ca="1" si="79"/>
        <v>93.480203621634644</v>
      </c>
      <c r="P469" s="92">
        <f t="shared" ca="1" si="80"/>
        <v>100</v>
      </c>
      <c r="Q469" s="22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327863</v>
      </c>
      <c r="M470" s="497">
        <f ca="1">M471+M472</f>
        <v>306487</v>
      </c>
      <c r="N470" s="497">
        <f>N471+N472</f>
        <v>306487</v>
      </c>
      <c r="O470" s="497">
        <f t="shared" ca="1" si="79"/>
        <v>93.480203621634644</v>
      </c>
      <c r="P470" s="497">
        <f t="shared" ca="1" si="80"/>
        <v>100</v>
      </c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9"/>
        <v>0</v>
      </c>
      <c r="P471" s="92">
        <f t="shared" si="80"/>
        <v>0</v>
      </c>
      <c r="Q471" s="22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IFERROR(__xludf.DUMMYFUNCTION("IMPORTRANGE(""https://docs.google.com/spreadsheets/d/1QqKyyYR6Q21VydFLVH3TRQUabQu_ym0Zz7PgGX0-kHA/edit?usp=sharing"",""แผน!FS56"")"),327863)</f>
        <v>327863</v>
      </c>
      <c r="M472" s="92">
        <f ca="1">L472+5080-26456</f>
        <v>306487</v>
      </c>
      <c r="N472" s="92">
        <f>N473+N474+N475+N476</f>
        <v>306487</v>
      </c>
      <c r="O472" s="92">
        <f t="shared" ca="1" si="79"/>
        <v>93.480203621634644</v>
      </c>
      <c r="P472" s="92">
        <f t="shared" ca="1" si="80"/>
        <v>100</v>
      </c>
      <c r="Q472" s="22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f>32116+6516+1875+5115</f>
        <v>45622</v>
      </c>
      <c r="O473" s="497"/>
      <c r="P473" s="497"/>
      <c r="Q473" s="22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f>15600+16000+205700+4000</f>
        <v>241300</v>
      </c>
      <c r="O474" s="497"/>
      <c r="P474" s="497"/>
      <c r="Q474" s="22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22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f>46021-28676+2220</f>
        <v>19565</v>
      </c>
      <c r="O476" s="497"/>
      <c r="P476" s="497"/>
      <c r="Q476" s="22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22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22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IFERROR(__xludf.DUMMYFUNCTION("IMPORTRANGE(""https://docs.google.com/spreadsheets/d/1QqKyyYR6Q21VydFLVH3TRQUabQu_ym0Zz7PgGX0-kHA/edit?usp=sharing"",""แผน!FV56"")"),0)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22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22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22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22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IFERROR(__xludf.DUMMYFUNCTION("IMPORTRANGE(""https://docs.google.com/spreadsheets/d/1QqKyyYR6Q21VydFLVH3TRQUabQu_ym0Zz7PgGX0-kHA/edit?usp=sharing"",""แผน!FY56"")"),360)</f>
        <v>360</v>
      </c>
      <c r="J483" s="214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22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22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IFERROR(__xludf.DUMMYFUNCTION("IMPORTRANGE(""https://docs.google.com/spreadsheets/d/1QqKyyYR6Q21VydFLVH3TRQUabQu_ym0Zz7PgGX0-kHA/edit?usp=sharing"",""แผน!FZ56"")"),36)</f>
        <v>36</v>
      </c>
      <c r="J485" s="214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22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22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IFERROR(__xludf.DUMMYFUNCTION("IMPORTRANGE(""https://docs.google.com/spreadsheets/d/1QqKyyYR6Q21VydFLVH3TRQUabQu_ym0Zz7PgGX0-kHA/edit?usp=sharing"",""แผน!GA56"")"),40)</f>
        <v>40</v>
      </c>
      <c r="J487" s="214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22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22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IFERROR(__xludf.DUMMYFUNCTION("IMPORTRANGE(""https://docs.google.com/spreadsheets/d/1QqKyyYR6Q21VydFLVH3TRQUabQu_ym0Zz7PgGX0-kHA/edit?usp=sharing"",""แผน!GB56"")"),4)</f>
        <v>4</v>
      </c>
      <c r="J489" s="214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22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22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22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22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22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22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IFERROR(__xludf.DUMMYFUNCTION("IMPORTRANGE(""https://docs.google.com/spreadsheets/d/1QqKyyYR6Q21VydFLVH3TRQUabQu_ym0Zz7PgGX0-kHA/edit?usp=sharing"",""แผน!FY56"")"),360)</f>
        <v>360</v>
      </c>
      <c r="J495" s="214">
        <v>360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22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22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22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IFERROR(__xludf.DUMMYFUNCTION("IMPORTRANGE(""https://docs.google.com/spreadsheets/d/1QqKyyYR6Q21VydFLVH3TRQUabQu_ym0Zz7PgGX0-kHA/edit?usp=sharing"",""แผน!GA56"")"),40)</f>
        <v>40</v>
      </c>
      <c r="J498" s="214">
        <v>40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22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22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22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22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2">IF(L502&gt;0,N502*100/L502,0)</f>
        <v>0</v>
      </c>
      <c r="P502" s="642">
        <f t="shared" ref="P502:P507" si="83">IF(M502&gt;0,N502*100/M502,0)</f>
        <v>0</v>
      </c>
      <c r="Q502" s="22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4">L506+L513</f>
        <v>0</v>
      </c>
      <c r="M503" s="92">
        <f t="shared" si="84"/>
        <v>0</v>
      </c>
      <c r="N503" s="92">
        <f t="shared" si="84"/>
        <v>0</v>
      </c>
      <c r="O503" s="92">
        <f t="shared" si="82"/>
        <v>0</v>
      </c>
      <c r="P503" s="92">
        <f t="shared" si="83"/>
        <v>0</v>
      </c>
      <c r="Q503" s="22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4"/>
        <v>0</v>
      </c>
      <c r="M504" s="92">
        <f t="shared" si="84"/>
        <v>0</v>
      </c>
      <c r="N504" s="92">
        <f t="shared" si="84"/>
        <v>0</v>
      </c>
      <c r="O504" s="92">
        <f t="shared" si="82"/>
        <v>0</v>
      </c>
      <c r="P504" s="92">
        <f t="shared" si="83"/>
        <v>0</v>
      </c>
      <c r="Q504" s="22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2"/>
        <v>0</v>
      </c>
      <c r="P505" s="92">
        <f t="shared" si="83"/>
        <v>0</v>
      </c>
      <c r="Q505" s="22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2"/>
        <v>0</v>
      </c>
      <c r="P506" s="92">
        <f t="shared" si="83"/>
        <v>0</v>
      </c>
      <c r="Q506" s="22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2"/>
        <v>0</v>
      </c>
      <c r="P507" s="92">
        <f t="shared" si="83"/>
        <v>0</v>
      </c>
      <c r="Q507" s="22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22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22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22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22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22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22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22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22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22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22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22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22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  <c r="Q520" s="22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22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50</v>
      </c>
      <c r="J522" s="703">
        <f ca="1">J537</f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22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427460</v>
      </c>
      <c r="M523" s="194">
        <f ca="1">M524+M525</f>
        <v>443160</v>
      </c>
      <c r="N523" s="194">
        <f>N524+N525</f>
        <v>443160</v>
      </c>
      <c r="O523" s="194">
        <f t="shared" ref="O523:O528" ca="1" si="85">IF(L523&gt;0,N523*100/L523,0)</f>
        <v>103.67285827913723</v>
      </c>
      <c r="P523" s="194">
        <f t="shared" ref="P523:P528" ca="1" si="86">IF(M523&gt;0,N523*100/M523,0)</f>
        <v>100</v>
      </c>
      <c r="Q523" s="874">
        <f ca="1">N523-M523</f>
        <v>0</v>
      </c>
      <c r="R523" s="573" t="s">
        <v>338</v>
      </c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7">L527+L534</f>
        <v>0</v>
      </c>
      <c r="M524" s="92">
        <f t="shared" si="87"/>
        <v>0</v>
      </c>
      <c r="N524" s="92">
        <f t="shared" si="87"/>
        <v>0</v>
      </c>
      <c r="O524" s="92">
        <f t="shared" si="85"/>
        <v>0</v>
      </c>
      <c r="P524" s="92">
        <f t="shared" si="86"/>
        <v>0</v>
      </c>
      <c r="Q524" s="22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7"/>
        <v>427460</v>
      </c>
      <c r="M525" s="92">
        <f t="shared" ca="1" si="87"/>
        <v>443160</v>
      </c>
      <c r="N525" s="92">
        <f t="shared" si="87"/>
        <v>443160</v>
      </c>
      <c r="O525" s="92">
        <f t="shared" ca="1" si="85"/>
        <v>103.67285827913723</v>
      </c>
      <c r="P525" s="92">
        <f t="shared" ca="1" si="86"/>
        <v>100</v>
      </c>
      <c r="Q525" s="22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427460</v>
      </c>
      <c r="M526" s="497">
        <f ca="1">M527+M528</f>
        <v>443160</v>
      </c>
      <c r="N526" s="497">
        <f>N527+N528</f>
        <v>443160</v>
      </c>
      <c r="O526" s="497">
        <f t="shared" ca="1" si="85"/>
        <v>103.67285827913723</v>
      </c>
      <c r="P526" s="497">
        <f t="shared" ca="1" si="86"/>
        <v>100</v>
      </c>
      <c r="Q526" s="22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5"/>
        <v>0</v>
      </c>
      <c r="P527" s="92">
        <f t="shared" si="86"/>
        <v>0</v>
      </c>
      <c r="Q527" s="22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IFERROR(__xludf.DUMMYFUNCTION("IMPORTRANGE(""https://docs.google.com/spreadsheets/d/1QqKyyYR6Q21VydFLVH3TRQUabQu_ym0Zz7PgGX0-kHA/edit?usp=sharing"",""แผน!GQ56"")"),427460)</f>
        <v>427460</v>
      </c>
      <c r="M528" s="92">
        <f ca="1">L528+15700</f>
        <v>443160</v>
      </c>
      <c r="N528" s="92">
        <f>N529+N530+N531+N532</f>
        <v>443160</v>
      </c>
      <c r="O528" s="92">
        <f t="shared" ca="1" si="85"/>
        <v>103.67285827913723</v>
      </c>
      <c r="P528" s="92">
        <f t="shared" ca="1" si="86"/>
        <v>100</v>
      </c>
      <c r="Q528" s="22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149565</v>
      </c>
      <c r="O529" s="497"/>
      <c r="P529" s="497"/>
      <c r="Q529" s="22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250000</v>
      </c>
      <c r="O530" s="497"/>
      <c r="P530" s="497"/>
      <c r="Q530" s="22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22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43595</v>
      </c>
      <c r="O532" s="497"/>
      <c r="P532" s="497"/>
      <c r="Q532" s="22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22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22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IFERROR(__xludf.DUMMYFUNCTION("IMPORTRANGE(""https://docs.google.com/spreadsheets/d/1QqKyyYR6Q21VydFLVH3TRQUabQu_ym0Zz7PgGX0-kHA/edit?usp=sharing"",""แผน!GT56"")"),0)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22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22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88">IF(I537&gt;0,J537*100/I537,0)</f>
        <v>100</v>
      </c>
      <c r="L537" s="497"/>
      <c r="M537" s="497"/>
      <c r="N537" s="497"/>
      <c r="O537" s="497"/>
      <c r="P537" s="497"/>
      <c r="Q537" s="22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IFERROR(__xludf.DUMMYFUNCTION("IMPORTRANGE(""https://docs.google.com/spreadsheets/d/1QqKyyYR6Q21VydFLVH3TRQUabQu_ym0Zz7PgGX0-kHA/edit?usp=sharing"",""แผน!GV56"")"),50)</f>
        <v>50</v>
      </c>
      <c r="J538" s="214">
        <v>50</v>
      </c>
      <c r="K538" s="497">
        <f t="shared" ca="1" si="88"/>
        <v>100</v>
      </c>
      <c r="L538" s="497"/>
      <c r="M538" s="497"/>
      <c r="N538" s="497"/>
      <c r="O538" s="497"/>
      <c r="P538" s="497"/>
      <c r="Q538" s="22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IFERROR(__xludf.DUMMYFUNCTION("IMPORTRANGE(""https://docs.google.com/spreadsheets/d/1QqKyyYR6Q21VydFLVH3TRQUabQu_ym0Zz7PgGX0-kHA/edit?usp=sharing"",""แผน!GW56"")"),0)</f>
        <v>0</v>
      </c>
      <c r="J539" s="214">
        <v>0</v>
      </c>
      <c r="K539" s="497">
        <f t="shared" ca="1" si="88"/>
        <v>0</v>
      </c>
      <c r="L539" s="497"/>
      <c r="M539" s="497"/>
      <c r="N539" s="497"/>
      <c r="O539" s="497"/>
      <c r="P539" s="497"/>
      <c r="Q539" s="22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IFERROR(__xludf.DUMMYFUNCTION("IMPORTRANGE(""https://docs.google.com/spreadsheets/d/1QqKyyYR6Q21VydFLVH3TRQUabQu_ym0Zz7PgGX0-kHA/edit?usp=sharing"",""แผน!GX56"")"),0)</f>
        <v>0</v>
      </c>
      <c r="J540" s="214">
        <v>0</v>
      </c>
      <c r="K540" s="497">
        <f t="shared" ca="1" si="88"/>
        <v>0</v>
      </c>
      <c r="L540" s="497"/>
      <c r="M540" s="497"/>
      <c r="N540" s="497"/>
      <c r="O540" s="497"/>
      <c r="P540" s="497"/>
      <c r="Q540" s="22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IFERROR(__xludf.DUMMYFUNCTION("IMPORTRANGE(""https://docs.google.com/spreadsheets/d/1QqKyyYR6Q21VydFLVH3TRQUabQu_ym0Zz7PgGX0-kHA/edit?usp=sharing"",""แผน!GY56"")"),50)</f>
        <v>50</v>
      </c>
      <c r="J541" s="214">
        <v>50</v>
      </c>
      <c r="K541" s="497">
        <f t="shared" ca="1" si="88"/>
        <v>100</v>
      </c>
      <c r="L541" s="497"/>
      <c r="M541" s="497"/>
      <c r="N541" s="497"/>
      <c r="O541" s="497"/>
      <c r="P541" s="497"/>
      <c r="Q541" s="22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IFERROR(__xludf.DUMMYFUNCTION("IMPORTRANGE(""https://docs.google.com/spreadsheets/d/1QqKyyYR6Q21VydFLVH3TRQUabQu_ym0Zz7PgGX0-kHA/edit?usp=sharing"",""แผน!GZ56"")"),50)</f>
        <v>50</v>
      </c>
      <c r="J542" s="214">
        <v>50</v>
      </c>
      <c r="K542" s="497">
        <f t="shared" ca="1" si="88"/>
        <v>100</v>
      </c>
      <c r="L542" s="497"/>
      <c r="M542" s="497"/>
      <c r="N542" s="497"/>
      <c r="O542" s="497"/>
      <c r="P542" s="497"/>
      <c r="Q542" s="22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8"/>
        <v>0</v>
      </c>
      <c r="L543" s="665"/>
      <c r="M543" s="665"/>
      <c r="N543" s="665"/>
      <c r="O543" s="665"/>
      <c r="P543" s="665"/>
      <c r="Q543" s="22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289100</v>
      </c>
      <c r="M544" s="154">
        <f ca="1">M545+M546</f>
        <v>282252</v>
      </c>
      <c r="N544" s="154">
        <f>N545+N546</f>
        <v>282252</v>
      </c>
      <c r="O544" s="154">
        <f t="shared" ref="O544:O549" ca="1" si="89">IF(L544&gt;0,N544*100/L544,0)</f>
        <v>97.631269456935314</v>
      </c>
      <c r="P544" s="154">
        <f t="shared" ref="P544:P549" ca="1" si="90">IF(M544&gt;0,N544*100/M544,0)</f>
        <v>100</v>
      </c>
      <c r="Q544" s="22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9"/>
        <v>0</v>
      </c>
      <c r="P545" s="92">
        <f t="shared" si="90"/>
        <v>0</v>
      </c>
      <c r="Q545" s="22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289100</v>
      </c>
      <c r="M546" s="92">
        <f ca="1">M549+M556</f>
        <v>282252</v>
      </c>
      <c r="N546" s="92">
        <f>N549+N556</f>
        <v>282252</v>
      </c>
      <c r="O546" s="92">
        <f t="shared" ca="1" si="89"/>
        <v>97.631269456935314</v>
      </c>
      <c r="P546" s="92">
        <f t="shared" ca="1" si="90"/>
        <v>100</v>
      </c>
      <c r="Q546" s="22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289100</v>
      </c>
      <c r="M547" s="497">
        <f ca="1">M548+M549</f>
        <v>282252</v>
      </c>
      <c r="N547" s="497">
        <f>N548+N549</f>
        <v>282252</v>
      </c>
      <c r="O547" s="497">
        <f t="shared" ca="1" si="89"/>
        <v>97.631269456935314</v>
      </c>
      <c r="P547" s="497">
        <f t="shared" ca="1" si="90"/>
        <v>100</v>
      </c>
      <c r="Q547" s="22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9"/>
        <v>0</v>
      </c>
      <c r="P548" s="92">
        <f t="shared" si="90"/>
        <v>0</v>
      </c>
      <c r="Q548" s="22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IFERROR(__xludf.DUMMYFUNCTION("IMPORTRANGE(""https://docs.google.com/spreadsheets/d/1QqKyyYR6Q21VydFLVH3TRQUabQu_ym0Zz7PgGX0-kHA/edit?usp=sharing"",""แผน!HB56"")"),289100)</f>
        <v>289100</v>
      </c>
      <c r="M549" s="92">
        <f ca="1">L549-6848</f>
        <v>282252</v>
      </c>
      <c r="N549" s="92">
        <f>N550+N551+N552+N553+N554</f>
        <v>282252</v>
      </c>
      <c r="O549" s="92">
        <f t="shared" ca="1" si="89"/>
        <v>97.631269456935314</v>
      </c>
      <c r="P549" s="92">
        <f t="shared" ca="1" si="90"/>
        <v>100</v>
      </c>
      <c r="Q549" s="22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22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22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f>124411+13000</f>
        <v>137411</v>
      </c>
      <c r="O552" s="497"/>
      <c r="P552" s="497"/>
      <c r="Q552" s="22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144841</f>
        <v>144841</v>
      </c>
      <c r="O553" s="497"/>
      <c r="P553" s="497"/>
      <c r="Q553" s="22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22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22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22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IFERROR(__xludf.DUMMYFUNCTION("IMPORTRANGE(""https://docs.google.com/spreadsheets/d/1QqKyyYR6Q21VydFLVH3TRQUabQu_ym0Zz7PgGX0-kHA/edit?usp=sharing"",""แผน!HF56"")"),0)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22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22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22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IFERROR(__xludf.DUMMYFUNCTION("IMPORTRANGE(""https://docs.google.com/spreadsheets/d/1QqKyyYR6Q21VydFLVH3TRQUabQu_ym0Zz7PgGX0-kHA/edit?usp=sharing"",""แผน!HH56"")"),0)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22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IFERROR(__xludf.DUMMYFUNCTION("IMPORTRANGE(""https://docs.google.com/spreadsheets/d/1QqKyyYR6Q21VydFLVH3TRQUabQu_ym0Zz7PgGX0-kHA/edit?usp=sharing"",""แผน!HG56"")"),0)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22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22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22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22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22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22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22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IFERROR(__xludf.DUMMYFUNCTION("IMPORTRANGE(""https://docs.google.com/spreadsheets/d/1QqKyyYR6Q21VydFLVH3TRQUabQu_ym0Zz7PgGX0-kHA/edit?usp=sharing"",""แผน!HH56"")"),0)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22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IFERROR(__xludf.DUMMYFUNCTION("IMPORTRANGE(""https://docs.google.com/spreadsheets/d/1QqKyyYR6Q21VydFLVH3TRQUabQu_ym0Zz7PgGX0-kHA/edit?usp=sharing"",""แผน!HG56"")"),0)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22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22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22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22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22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22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22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IFERROR(__xludf.DUMMYFUNCTION("IMPORTRANGE(""https://docs.google.com/spreadsheets/d/1QqKyyYR6Q21VydFLVH3TRQUabQu_ym0Zz7PgGX0-kHA/edit?usp=sharing"",""แผน!HH56"")"),0)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22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IFERROR(__xludf.DUMMYFUNCTION("IMPORTRANGE(""https://docs.google.com/spreadsheets/d/1QqKyyYR6Q21VydFLVH3TRQUabQu_ym0Zz7PgGX0-kHA/edit?usp=sharing"",""แผน!HG56"")"),0)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22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22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22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22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22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22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22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22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22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22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22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22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22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22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22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4079.62</v>
      </c>
      <c r="J592" s="703">
        <f>J593</f>
        <v>4079.62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22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2">
        <f>J595+J603+J609</f>
        <v>4079.62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22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IFERROR(__xludf.DUMMYFUNCTION("IMPORTRANGE(""https://docs.google.com/spreadsheets/d/1QqKyyYR6Q21VydFLVH3TRQUabQu_ym0Zz7PgGX0-kHA/edit?usp=sharing"",""แผน!HI56"")"),257)</f>
        <v>257</v>
      </c>
      <c r="J594" s="192">
        <f>J596+J604+J610</f>
        <v>257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22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3390.18</v>
      </c>
      <c r="K595" s="162"/>
      <c r="L595" s="162"/>
      <c r="M595" s="162"/>
      <c r="N595" s="162"/>
      <c r="O595" s="162"/>
      <c r="P595" s="162"/>
      <c r="Q595" s="22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206</v>
      </c>
      <c r="K596" s="162"/>
      <c r="L596" s="162"/>
      <c r="M596" s="162"/>
      <c r="N596" s="162"/>
      <c r="O596" s="162"/>
      <c r="P596" s="162"/>
      <c r="Q596" s="22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3390.18</v>
      </c>
      <c r="K597" s="162"/>
      <c r="L597" s="162"/>
      <c r="M597" s="162"/>
      <c r="N597" s="162"/>
      <c r="O597" s="162"/>
      <c r="P597" s="162"/>
      <c r="Q597" s="22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206</v>
      </c>
      <c r="K598" s="162"/>
      <c r="L598" s="162"/>
      <c r="M598" s="162"/>
      <c r="N598" s="162"/>
      <c r="O598" s="162"/>
      <c r="P598" s="162"/>
      <c r="Q598" s="22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22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22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22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22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679.89</v>
      </c>
      <c r="K603" s="162"/>
      <c r="L603" s="162"/>
      <c r="M603" s="162"/>
      <c r="N603" s="162"/>
      <c r="O603" s="162"/>
      <c r="P603" s="162"/>
      <c r="Q603" s="22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49</v>
      </c>
      <c r="K604" s="162"/>
      <c r="L604" s="162"/>
      <c r="M604" s="162"/>
      <c r="N604" s="162"/>
      <c r="O604" s="162"/>
      <c r="P604" s="162"/>
      <c r="Q604" s="22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679.89</v>
      </c>
      <c r="K605" s="162"/>
      <c r="L605" s="162"/>
      <c r="M605" s="162"/>
      <c r="N605" s="162"/>
      <c r="O605" s="162"/>
      <c r="P605" s="162"/>
      <c r="Q605" s="22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49</v>
      </c>
      <c r="K606" s="162"/>
      <c r="L606" s="162"/>
      <c r="M606" s="162"/>
      <c r="N606" s="162"/>
      <c r="O606" s="162"/>
      <c r="P606" s="162"/>
      <c r="Q606" s="22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22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22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9.5500000000000007</v>
      </c>
      <c r="K609" s="162"/>
      <c r="L609" s="162"/>
      <c r="M609" s="162"/>
      <c r="N609" s="162"/>
      <c r="O609" s="162"/>
      <c r="P609" s="162"/>
      <c r="Q609" s="22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2</v>
      </c>
      <c r="K610" s="162"/>
      <c r="L610" s="162"/>
      <c r="M610" s="162"/>
      <c r="N610" s="162"/>
      <c r="O610" s="162"/>
      <c r="P610" s="162"/>
      <c r="Q610" s="22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22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22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22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22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22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22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22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22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22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22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22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22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22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22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22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22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22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50</v>
      </c>
      <c r="J628" s="736">
        <f ca="1">J651</f>
        <v>50</v>
      </c>
      <c r="K628" s="737">
        <f ca="1">IF(I628&gt;0,J628*100/I628,0)</f>
        <v>100</v>
      </c>
      <c r="L628" s="738"/>
      <c r="M628" s="738"/>
      <c r="N628" s="738"/>
      <c r="O628" s="738"/>
      <c r="P628" s="738"/>
      <c r="Q628" s="22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171175</v>
      </c>
      <c r="M629" s="194">
        <f ca="1">M630+M631</f>
        <v>171175</v>
      </c>
      <c r="N629" s="194">
        <f>N630+N631</f>
        <v>171175</v>
      </c>
      <c r="O629" s="194">
        <f t="shared" ref="O629:O634" ca="1" si="91">IF(L629&gt;0,N629*100/L629,0)</f>
        <v>100</v>
      </c>
      <c r="P629" s="194">
        <f t="shared" ref="P629:P634" ca="1" si="92">IF(M629&gt;0,N629*100/M629,0)</f>
        <v>100</v>
      </c>
      <c r="Q629" s="22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3">L633+L640</f>
        <v>0</v>
      </c>
      <c r="M630" s="92">
        <f t="shared" si="93"/>
        <v>0</v>
      </c>
      <c r="N630" s="92">
        <f t="shared" si="93"/>
        <v>0</v>
      </c>
      <c r="O630" s="92">
        <f t="shared" si="91"/>
        <v>0</v>
      </c>
      <c r="P630" s="92">
        <f t="shared" si="92"/>
        <v>0</v>
      </c>
      <c r="Q630" s="22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3"/>
        <v>171175</v>
      </c>
      <c r="M631" s="92">
        <f t="shared" ca="1" si="93"/>
        <v>171175</v>
      </c>
      <c r="N631" s="92">
        <f t="shared" si="93"/>
        <v>171175</v>
      </c>
      <c r="O631" s="92">
        <f t="shared" ca="1" si="91"/>
        <v>100</v>
      </c>
      <c r="P631" s="92">
        <f t="shared" ca="1" si="92"/>
        <v>100</v>
      </c>
      <c r="Q631" s="22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171175</v>
      </c>
      <c r="M632" s="497">
        <f ca="1">M633+M634</f>
        <v>171175</v>
      </c>
      <c r="N632" s="497">
        <f>N633+N634</f>
        <v>171175</v>
      </c>
      <c r="O632" s="497">
        <f t="shared" ca="1" si="91"/>
        <v>100</v>
      </c>
      <c r="P632" s="497">
        <f t="shared" ca="1" si="92"/>
        <v>100</v>
      </c>
      <c r="Q632" s="22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1"/>
        <v>0</v>
      </c>
      <c r="P633" s="92">
        <f t="shared" si="92"/>
        <v>0</v>
      </c>
      <c r="Q633" s="22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IFERROR(__xludf.DUMMYFUNCTION("IMPORTRANGE(""https://docs.google.com/spreadsheets/d/1QqKyyYR6Q21VydFLVH3TRQUabQu_ym0Zz7PgGX0-kHA/edit?usp=sharing"",""แผน!HN56"")"),171175)</f>
        <v>171175</v>
      </c>
      <c r="M634" s="92">
        <f ca="1">L634</f>
        <v>171175</v>
      </c>
      <c r="N634" s="92">
        <f>N635+N636+N637+N638</f>
        <v>171175</v>
      </c>
      <c r="O634" s="92">
        <f t="shared" ca="1" si="91"/>
        <v>100</v>
      </c>
      <c r="P634" s="92">
        <f t="shared" ca="1" si="92"/>
        <v>100</v>
      </c>
      <c r="Q634" s="22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22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22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22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142632+8010+13508.45+7024.55</f>
        <v>171175</v>
      </c>
      <c r="O638" s="497"/>
      <c r="P638" s="497"/>
      <c r="Q638" s="22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22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22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IFERROR(__xludf.DUMMYFUNCTION("IMPORTRANGE(""https://docs.google.com/spreadsheets/d/1QqKyyYR6Q21VydFLVH3TRQUabQu_ym0Zz7PgGX0-kHA/edit?usp=sharing"",""แผน!HQ56"")"),0)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22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22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IFERROR(__xludf.DUMMYFUNCTION("IMPORTRANGE(""https://docs.google.com/spreadsheets/d/1QqKyyYR6Q21VydFLVH3TRQUabQu_ym0Zz7PgGX0-kHA/edit?usp=sharing"",""แผน!HR56"")"),0)</f>
        <v>0</v>
      </c>
      <c r="J643" s="214">
        <v>0</v>
      </c>
      <c r="K643" s="162">
        <f t="shared" ref="K643:K652" ca="1" si="94">IF(I643&gt;0,J643*100/I643,0)</f>
        <v>0</v>
      </c>
      <c r="L643" s="162"/>
      <c r="M643" s="162"/>
      <c r="N643" s="497"/>
      <c r="O643" s="162"/>
      <c r="P643" s="162"/>
      <c r="Q643" s="22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IFERROR(__xludf.DUMMYFUNCTION("IMPORTRANGE(""https://docs.google.com/spreadsheets/d/1QqKyyYR6Q21VydFLVH3TRQUabQu_ym0Zz7PgGX0-kHA/edit?usp=sharing"",""แผน!HR56"")"),0)</f>
        <v>0</v>
      </c>
      <c r="J644" s="214">
        <v>0</v>
      </c>
      <c r="K644" s="162">
        <f t="shared" ca="1" si="94"/>
        <v>0</v>
      </c>
      <c r="L644" s="162"/>
      <c r="M644" s="162"/>
      <c r="N644" s="497"/>
      <c r="O644" s="162"/>
      <c r="P644" s="162"/>
      <c r="Q644" s="22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IFERROR(__xludf.DUMMYFUNCTION("IMPORTRANGE(""https://docs.google.com/spreadsheets/d/1XWAQStnk-4SwqDmLtmXYiTMKHgktTP8We1SCoS47DrQ/edit?usp=sharing"",""จัดที่ดิน!AS56"")"),77)</f>
        <v>77</v>
      </c>
      <c r="K645" s="162">
        <f t="shared" si="94"/>
        <v>0</v>
      </c>
      <c r="L645" s="162"/>
      <c r="M645" s="162"/>
      <c r="N645" s="497"/>
      <c r="O645" s="162"/>
      <c r="P645" s="162"/>
      <c r="Q645" s="22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IFERROR(__xludf.DUMMYFUNCTION("IMPORTRANGE(""https://docs.google.com/spreadsheets/d/1XWAQStnk-4SwqDmLtmXYiTMKHgktTP8We1SCoS47DrQ/edit?usp=sharing"",""จัดที่ดิน!AT56"")"),42.22)</f>
        <v>42.22</v>
      </c>
      <c r="K646" s="497">
        <f t="shared" si="94"/>
        <v>0</v>
      </c>
      <c r="L646" s="162"/>
      <c r="M646" s="162"/>
      <c r="N646" s="497"/>
      <c r="O646" s="162"/>
      <c r="P646" s="162"/>
      <c r="Q646" s="22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IFERROR(__xludf.DUMMYFUNCTION("IMPORTRANGE(""https://docs.google.com/spreadsheets/d/1QqKyyYR6Q21VydFLVH3TRQUabQu_ym0Zz7PgGX0-kHA/edit?usp=sharing"",""แผน!HS56"")"),50)</f>
        <v>50</v>
      </c>
      <c r="J647" s="269">
        <f ca="1">IFERROR(__xludf.DUMMYFUNCTION("IMPORTRANGE(""https://docs.google.com/spreadsheets/d/1XWAQStnk-4SwqDmLtmXYiTMKHgktTP8We1SCoS47DrQ/edit?usp=sharing"",""จัดที่ดิน!AU56"")"),64)</f>
        <v>64</v>
      </c>
      <c r="K647" s="162">
        <f t="shared" ca="1" si="94"/>
        <v>128</v>
      </c>
      <c r="L647" s="162"/>
      <c r="M647" s="162"/>
      <c r="N647" s="162"/>
      <c r="O647" s="162"/>
      <c r="P647" s="162"/>
      <c r="Q647" s="22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IFERROR(__xludf.DUMMYFUNCTION("IMPORTRANGE(""https://docs.google.com/spreadsheets/d/1XWAQStnk-4SwqDmLtmXYiTMKHgktTP8We1SCoS47DrQ/edit?usp=sharing"",""จัดที่ดิน!AV56"")"),49.97)</f>
        <v>49.97</v>
      </c>
      <c r="K648" s="497">
        <f t="shared" si="94"/>
        <v>0</v>
      </c>
      <c r="L648" s="162"/>
      <c r="M648" s="162"/>
      <c r="N648" s="162"/>
      <c r="O648" s="162"/>
      <c r="P648" s="162"/>
      <c r="Q648" s="22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IFERROR(__xludf.DUMMYFUNCTION("IMPORTRANGE(""https://docs.google.com/spreadsheets/d/1QqKyyYR6Q21VydFLVH3TRQUabQu_ym0Zz7PgGX0-kHA/edit?usp=sharing"",""แผน!HS56"")"),50)</f>
        <v>50</v>
      </c>
      <c r="J649" s="269">
        <f ca="1">IFERROR(__xludf.DUMMYFUNCTION("IMPORTRANGE(""https://docs.google.com/spreadsheets/d/1XWAQStnk-4SwqDmLtmXYiTMKHgktTP8We1SCoS47DrQ/edit?usp=sharing"",""จัดที่ดิน!AW56"")"),55)</f>
        <v>55</v>
      </c>
      <c r="K649" s="162">
        <f t="shared" ca="1" si="94"/>
        <v>110</v>
      </c>
      <c r="L649" s="162"/>
      <c r="M649" s="162"/>
      <c r="N649" s="162"/>
      <c r="O649" s="162"/>
      <c r="P649" s="162"/>
      <c r="Q649" s="22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IFERROR(__xludf.DUMMYFUNCTION("IMPORTRANGE(""https://docs.google.com/spreadsheets/d/1XWAQStnk-4SwqDmLtmXYiTMKHgktTP8We1SCoS47DrQ/edit?usp=sharing"",""จัดที่ดิน!AX56"")"),35.61)</f>
        <v>35.61</v>
      </c>
      <c r="K650" s="497">
        <f t="shared" si="94"/>
        <v>0</v>
      </c>
      <c r="L650" s="162"/>
      <c r="M650" s="162"/>
      <c r="N650" s="162"/>
      <c r="O650" s="162"/>
      <c r="P650" s="162"/>
      <c r="Q650" s="22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IFERROR(__xludf.DUMMYFUNCTION("IMPORTRANGE(""https://docs.google.com/spreadsheets/d/1QqKyyYR6Q21VydFLVH3TRQUabQu_ym0Zz7PgGX0-kHA/edit?usp=sharing"",""แผน!HS56"")"),50)</f>
        <v>50</v>
      </c>
      <c r="J651" s="269">
        <f ca="1">IFERROR(__xludf.DUMMYFUNCTION("IMPORTRANGE(""https://docs.google.com/spreadsheets/d/1XWAQStnk-4SwqDmLtmXYiTMKHgktTP8We1SCoS47DrQ/edit?usp=sharing"",""จัดที่ดิน!AY56"")"),50)</f>
        <v>50</v>
      </c>
      <c r="K651" s="162">
        <f t="shared" ca="1" si="94"/>
        <v>100</v>
      </c>
      <c r="L651" s="162"/>
      <c r="M651" s="162"/>
      <c r="N651" s="162"/>
      <c r="O651" s="162"/>
      <c r="P651" s="162"/>
      <c r="Q651" s="22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IFERROR(__xludf.DUMMYFUNCTION("IMPORTRANGE(""https://docs.google.com/spreadsheets/d/1XWAQStnk-4SwqDmLtmXYiTMKHgktTP8We1SCoS47DrQ/edit?usp=sharing"",""จัดที่ดิน!AZ56"")"),33.695)</f>
        <v>33.695</v>
      </c>
      <c r="K652" s="502">
        <f t="shared" si="94"/>
        <v>0</v>
      </c>
      <c r="L652" s="384"/>
      <c r="M652" s="384"/>
      <c r="N652" s="384"/>
      <c r="O652" s="384"/>
      <c r="P652" s="384"/>
      <c r="Q652" s="22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22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22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5">IF(L655&gt;0,N655*100/L655,0)</f>
        <v>0</v>
      </c>
      <c r="P655" s="194">
        <f t="shared" ref="P655:P660" si="96">IF(M655&gt;0,N655*100/M655,0)</f>
        <v>0</v>
      </c>
      <c r="Q655" s="22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7">L659+L666</f>
        <v>0</v>
      </c>
      <c r="M656" s="92">
        <f t="shared" si="97"/>
        <v>0</v>
      </c>
      <c r="N656" s="92">
        <f t="shared" si="97"/>
        <v>0</v>
      </c>
      <c r="O656" s="92">
        <f t="shared" si="95"/>
        <v>0</v>
      </c>
      <c r="P656" s="92">
        <f t="shared" si="96"/>
        <v>0</v>
      </c>
      <c r="Q656" s="22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7"/>
        <v>0</v>
      </c>
      <c r="M657" s="92">
        <f t="shared" si="97"/>
        <v>0</v>
      </c>
      <c r="N657" s="92">
        <f t="shared" si="97"/>
        <v>0</v>
      </c>
      <c r="O657" s="92">
        <f t="shared" ca="1" si="95"/>
        <v>0</v>
      </c>
      <c r="P657" s="92">
        <f t="shared" si="96"/>
        <v>0</v>
      </c>
      <c r="Q657" s="22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5"/>
        <v>0</v>
      </c>
      <c r="P658" s="497">
        <f t="shared" si="96"/>
        <v>0</v>
      </c>
      <c r="Q658" s="22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5"/>
        <v>0</v>
      </c>
      <c r="P659" s="92">
        <f t="shared" si="96"/>
        <v>0</v>
      </c>
      <c r="Q659" s="22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IFERROR(__xludf.DUMMYFUNCTION("IMPORTRANGE(""https://docs.google.com/spreadsheets/d/1QqKyyYR6Q21VydFLVH3TRQUabQu_ym0Zz7PgGX0-kHA/edit?usp=sharing"",""แผน!HV56"")"),0)</f>
        <v>0</v>
      </c>
      <c r="M660" s="92">
        <v>0</v>
      </c>
      <c r="N660" s="92">
        <f>N661+N662+N663+N664</f>
        <v>0</v>
      </c>
      <c r="O660" s="92">
        <f t="shared" ca="1" si="95"/>
        <v>0</v>
      </c>
      <c r="P660" s="92">
        <f t="shared" si="96"/>
        <v>0</v>
      </c>
      <c r="Q660" s="22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22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22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22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22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22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22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22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22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22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IFERROR(__xludf.DUMMYFUNCTION("IMPORTRANGE(""https://docs.google.com/spreadsheets/d/1QqKyyYR6Q21VydFLVH3TRQUabQu_ym0Zz7PgGX0-kHA/edit?usp=sharing"",""แผน!HZ56"")"),0)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22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IFERROR(__xludf.DUMMYFUNCTION("IMPORTRANGE(""https://docs.google.com/spreadsheets/d/1QqKyyYR6Q21VydFLVH3TRQUabQu_ym0Zz7PgGX0-kHA/edit?usp=sharing"",""แผน!HZ56"")"),0)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22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22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22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22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22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22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22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22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22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22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22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22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22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22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22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8">L689+L696</f>
        <v>0</v>
      </c>
      <c r="M686" s="92">
        <f t="shared" si="98"/>
        <v>0</v>
      </c>
      <c r="N686" s="92">
        <f t="shared" si="98"/>
        <v>0</v>
      </c>
      <c r="O686" s="92">
        <f>IF(L686&gt;0,N686*100/L686,0)</f>
        <v>0</v>
      </c>
      <c r="P686" s="92">
        <f>IF(M686&gt;0,N686*100/M686,0)</f>
        <v>0</v>
      </c>
      <c r="Q686" s="22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8"/>
        <v>0</v>
      </c>
      <c r="M687" s="92">
        <f t="shared" si="98"/>
        <v>0</v>
      </c>
      <c r="N687" s="92">
        <f t="shared" si="98"/>
        <v>0</v>
      </c>
      <c r="O687" s="92">
        <f ca="1">IF(L687&gt;0,N687*100/L687,0)</f>
        <v>0</v>
      </c>
      <c r="P687" s="92">
        <f>IF(M687&gt;0,N687*100/M687,0)</f>
        <v>0</v>
      </c>
      <c r="Q687" s="22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22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22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IFERROR(__xludf.DUMMYFUNCTION("IMPORTRANGE(""https://docs.google.com/spreadsheets/d/1QqKyyYR6Q21VydFLVH3TRQUabQu_ym0Zz7PgGX0-kHA/edit?usp=sharing"",""แผน!HW56"")"),0)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22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22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22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22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22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22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22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22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22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69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22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69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22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22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22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22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22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22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22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22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22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22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22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22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22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22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22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22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22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22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8"/>
      <c r="N718" s="761"/>
      <c r="O718" s="497"/>
      <c r="P718" s="497"/>
      <c r="Q718" s="22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8"/>
      <c r="N719" s="761"/>
      <c r="O719" s="497"/>
      <c r="P719" s="497"/>
      <c r="Q719" s="22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69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22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22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22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69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22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8"/>
      <c r="N724" s="761"/>
      <c r="O724" s="497"/>
      <c r="P724" s="497"/>
      <c r="Q724" s="22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69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22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69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22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8"/>
      <c r="N727" s="761"/>
      <c r="O727" s="497"/>
      <c r="P727" s="497"/>
      <c r="Q727" s="22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69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22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22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22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22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22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22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22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22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22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9">IF(L737&gt;0,N737*100/L737,0)</f>
        <v>0</v>
      </c>
      <c r="P737" s="642">
        <f t="shared" ref="P737:P742" si="100">IF(M737&gt;0,N737*100/M737,0)</f>
        <v>0</v>
      </c>
      <c r="Q737" s="22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1">L741+L748</f>
        <v>0</v>
      </c>
      <c r="M738" s="92">
        <f t="shared" si="101"/>
        <v>0</v>
      </c>
      <c r="N738" s="92">
        <f t="shared" si="101"/>
        <v>0</v>
      </c>
      <c r="O738" s="92">
        <f t="shared" si="99"/>
        <v>0</v>
      </c>
      <c r="P738" s="92">
        <f t="shared" si="100"/>
        <v>0</v>
      </c>
      <c r="Q738" s="22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1"/>
        <v>0</v>
      </c>
      <c r="M739" s="92">
        <f t="shared" si="101"/>
        <v>0</v>
      </c>
      <c r="N739" s="92">
        <f t="shared" si="101"/>
        <v>0</v>
      </c>
      <c r="O739" s="92">
        <f t="shared" si="99"/>
        <v>0</v>
      </c>
      <c r="P739" s="92">
        <f t="shared" si="100"/>
        <v>0</v>
      </c>
      <c r="Q739" s="22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9"/>
        <v>0</v>
      </c>
      <c r="P740" s="642">
        <f t="shared" si="100"/>
        <v>0</v>
      </c>
      <c r="Q740" s="22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9"/>
        <v>0</v>
      </c>
      <c r="P741" s="92">
        <f t="shared" si="100"/>
        <v>0</v>
      </c>
      <c r="Q741" s="22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9"/>
        <v>0</v>
      </c>
      <c r="P742" s="92">
        <f t="shared" si="100"/>
        <v>0</v>
      </c>
      <c r="Q742" s="22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22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22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22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22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22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22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22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22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22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22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22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2">IF(L754&gt;0,N754*100/L754,0)</f>
        <v>0</v>
      </c>
      <c r="P754" s="642">
        <f t="shared" ref="P754:P759" si="103">IF(M754&gt;0,N754*100/M754,0)</f>
        <v>0</v>
      </c>
      <c r="Q754" s="22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4">L758+L765</f>
        <v>0</v>
      </c>
      <c r="M755" s="92">
        <f t="shared" si="104"/>
        <v>0</v>
      </c>
      <c r="N755" s="92">
        <f t="shared" si="104"/>
        <v>0</v>
      </c>
      <c r="O755" s="92">
        <f t="shared" si="102"/>
        <v>0</v>
      </c>
      <c r="P755" s="92">
        <f t="shared" si="103"/>
        <v>0</v>
      </c>
      <c r="Q755" s="22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4"/>
        <v>0</v>
      </c>
      <c r="M756" s="92">
        <f t="shared" si="104"/>
        <v>0</v>
      </c>
      <c r="N756" s="92">
        <f t="shared" si="104"/>
        <v>0</v>
      </c>
      <c r="O756" s="92">
        <f t="shared" si="102"/>
        <v>0</v>
      </c>
      <c r="P756" s="92">
        <f t="shared" si="103"/>
        <v>0</v>
      </c>
      <c r="Q756" s="22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2"/>
        <v>0</v>
      </c>
      <c r="P757" s="642">
        <f t="shared" si="103"/>
        <v>0</v>
      </c>
      <c r="Q757" s="22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2"/>
        <v>0</v>
      </c>
      <c r="P758" s="92">
        <f t="shared" si="103"/>
        <v>0</v>
      </c>
      <c r="Q758" s="22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2"/>
        <v>0</v>
      </c>
      <c r="P759" s="92">
        <f t="shared" si="103"/>
        <v>0</v>
      </c>
      <c r="Q759" s="22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22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22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22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22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22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22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22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22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22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22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5">IF(L770&gt;0,N770*100/L770,0)</f>
        <v>0</v>
      </c>
      <c r="P770" s="642">
        <f t="shared" ref="P770:P775" si="106">IF(M770&gt;0,N770*100/M770,0)</f>
        <v>0</v>
      </c>
      <c r="Q770" s="22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7">L774+L781</f>
        <v>0</v>
      </c>
      <c r="M771" s="92">
        <f t="shared" si="107"/>
        <v>0</v>
      </c>
      <c r="N771" s="92">
        <f t="shared" si="107"/>
        <v>0</v>
      </c>
      <c r="O771" s="92">
        <f t="shared" si="105"/>
        <v>0</v>
      </c>
      <c r="P771" s="92">
        <f t="shared" si="106"/>
        <v>0</v>
      </c>
      <c r="Q771" s="22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7"/>
        <v>0</v>
      </c>
      <c r="M772" s="92">
        <f t="shared" si="107"/>
        <v>0</v>
      </c>
      <c r="N772" s="92">
        <f t="shared" si="107"/>
        <v>0</v>
      </c>
      <c r="O772" s="92">
        <f t="shared" si="105"/>
        <v>0</v>
      </c>
      <c r="P772" s="92">
        <f t="shared" si="106"/>
        <v>0</v>
      </c>
      <c r="Q772" s="22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5"/>
        <v>0</v>
      </c>
      <c r="P773" s="642">
        <f t="shared" si="106"/>
        <v>0</v>
      </c>
      <c r="Q773" s="22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5"/>
        <v>0</v>
      </c>
      <c r="P774" s="92">
        <f t="shared" si="106"/>
        <v>0</v>
      </c>
      <c r="Q774" s="22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5"/>
        <v>0</v>
      </c>
      <c r="P775" s="92">
        <f t="shared" si="106"/>
        <v>0</v>
      </c>
      <c r="Q775" s="22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22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22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22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22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22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22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22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22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22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22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8">IF(L786&gt;0,N786*100/L786,0)</f>
        <v>0</v>
      </c>
      <c r="P786" s="194">
        <f t="shared" ref="P786:P791" si="109">IF(M786&gt;0,N786*100/M786,0)</f>
        <v>0</v>
      </c>
      <c r="Q786" s="22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10">L790+L797</f>
        <v>0</v>
      </c>
      <c r="M787" s="92">
        <f t="shared" si="110"/>
        <v>0</v>
      </c>
      <c r="N787" s="92">
        <f t="shared" si="110"/>
        <v>0</v>
      </c>
      <c r="O787" s="92">
        <f t="shared" si="108"/>
        <v>0</v>
      </c>
      <c r="P787" s="92">
        <f t="shared" si="109"/>
        <v>0</v>
      </c>
      <c r="Q787" s="22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10"/>
        <v>0</v>
      </c>
      <c r="M788" s="92">
        <f t="shared" si="110"/>
        <v>0</v>
      </c>
      <c r="N788" s="92">
        <f t="shared" si="110"/>
        <v>0</v>
      </c>
      <c r="O788" s="92">
        <f t="shared" ca="1" si="108"/>
        <v>0</v>
      </c>
      <c r="P788" s="92">
        <f t="shared" si="109"/>
        <v>0</v>
      </c>
      <c r="Q788" s="22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8"/>
        <v>0</v>
      </c>
      <c r="P789" s="497">
        <f t="shared" si="109"/>
        <v>0</v>
      </c>
      <c r="Q789" s="22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8"/>
        <v>0</v>
      </c>
      <c r="P790" s="92">
        <f t="shared" si="109"/>
        <v>0</v>
      </c>
      <c r="Q790" s="22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IFERROR(__xludf.DUMMYFUNCTION("IMPORTRANGE(""https://docs.google.com/spreadsheets/d/1QqKyyYR6Q21VydFLVH3TRQUabQu_ym0Zz7PgGX0-kHA/edit?usp=sharing"",""แผน!JJ56"")"),0)</f>
        <v>0</v>
      </c>
      <c r="M791" s="92">
        <v>0</v>
      </c>
      <c r="N791" s="92">
        <f>N792+N793+N794+N795</f>
        <v>0</v>
      </c>
      <c r="O791" s="92">
        <f t="shared" ca="1" si="108"/>
        <v>0</v>
      </c>
      <c r="P791" s="92">
        <f t="shared" si="109"/>
        <v>0</v>
      </c>
      <c r="Q791" s="22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22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22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22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22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22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22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22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22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IFERROR(__xludf.DUMMYFUNCTION("IMPORTRANGE(""https://docs.google.com/spreadsheets/d/1QqKyyYR6Q21VydFLVH3TRQUabQu_ym0Zz7PgGX0-kHA/edit?usp=sharing"",""แผน!JN56"")"),0)</f>
        <v>0</v>
      </c>
      <c r="J800" s="183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22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2"/>
      <c r="P801" s="162"/>
      <c r="Q801" s="22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22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22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22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1">IF(L805&gt;0,N805*100/L805,0)</f>
        <v>0</v>
      </c>
      <c r="P805" s="642">
        <f t="shared" ref="P805:P810" si="112">IF(M805&gt;0,N805*100/M805,0)</f>
        <v>0</v>
      </c>
      <c r="Q805" s="22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3">L809+L816</f>
        <v>0</v>
      </c>
      <c r="M806" s="92">
        <f t="shared" si="113"/>
        <v>0</v>
      </c>
      <c r="N806" s="92">
        <f t="shared" si="113"/>
        <v>0</v>
      </c>
      <c r="O806" s="92">
        <f t="shared" si="111"/>
        <v>0</v>
      </c>
      <c r="P806" s="92">
        <f t="shared" si="112"/>
        <v>0</v>
      </c>
      <c r="Q806" s="22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3"/>
        <v>0</v>
      </c>
      <c r="M807" s="92">
        <f t="shared" si="113"/>
        <v>0</v>
      </c>
      <c r="N807" s="92">
        <f t="shared" si="113"/>
        <v>0</v>
      </c>
      <c r="O807" s="92">
        <f t="shared" si="111"/>
        <v>0</v>
      </c>
      <c r="P807" s="92">
        <f t="shared" si="112"/>
        <v>0</v>
      </c>
      <c r="Q807" s="22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1"/>
        <v>0</v>
      </c>
      <c r="P808" s="642">
        <f t="shared" si="112"/>
        <v>0</v>
      </c>
      <c r="Q808" s="22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1"/>
        <v>0</v>
      </c>
      <c r="P809" s="92">
        <f t="shared" si="112"/>
        <v>0</v>
      </c>
      <c r="Q809" s="22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1"/>
        <v>0</v>
      </c>
      <c r="P810" s="92">
        <f t="shared" si="112"/>
        <v>0</v>
      </c>
      <c r="Q810" s="22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22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22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22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22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22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22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22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22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22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22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IFERROR(__xludf.DUMMYFUNCTION("IMPORTRANGE(""https://docs.google.com/spreadsheets/d/19vJNZY_5yjcGF2XGBMNZRCAIB0Kwfpjp8YEOfu-bneM/edit?usp=sharing"",""งานกองทุน!D56"")"),11570000)</f>
        <v>11570000</v>
      </c>
      <c r="J821" s="269">
        <f ca="1">IFERROR(__xludf.DUMMYFUNCTION("IMPORTRANGE(""https://docs.google.com/spreadsheets/d/19vJNZY_5yjcGF2XGBMNZRCAIB0Kwfpjp8YEOfu-bneM/edit?usp=sharing"",""งานกองทุน!F56"")"),11620000)</f>
        <v>11620000</v>
      </c>
      <c r="K821" s="497">
        <f t="shared" ref="K821:K828" ca="1" si="114">IF(I821&gt;0,J821*100/I821,0)</f>
        <v>100.43215211754537</v>
      </c>
      <c r="L821" s="497"/>
      <c r="M821" s="497"/>
      <c r="N821" s="497"/>
      <c r="O821" s="497"/>
      <c r="P821" s="497"/>
      <c r="Q821" s="22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IFERROR(__xludf.DUMMYFUNCTION("IMPORTRANGE(""https://docs.google.com/spreadsheets/d/19vJNZY_5yjcGF2XGBMNZRCAIB0Kwfpjp8YEOfu-bneM/edit?usp=sharing"",""งานกองทุน!C56"")"),237)</f>
        <v>237</v>
      </c>
      <c r="J822" s="269">
        <f ca="1">IFERROR(__xludf.DUMMYFUNCTION("IMPORTRANGE(""https://docs.google.com/spreadsheets/d/19vJNZY_5yjcGF2XGBMNZRCAIB0Kwfpjp8YEOfu-bneM/edit?usp=sharing"",""งานกองทุน!E56"")"),238)</f>
        <v>238</v>
      </c>
      <c r="K822" s="497">
        <f t="shared" ca="1" si="114"/>
        <v>100.42194092827005</v>
      </c>
      <c r="L822" s="497"/>
      <c r="M822" s="497"/>
      <c r="N822" s="497"/>
      <c r="O822" s="497"/>
      <c r="P822" s="497"/>
      <c r="Q822" s="22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IFERROR(__xludf.DUMMYFUNCTION("IMPORTRANGE(""https://docs.google.com/spreadsheets/d/19vJNZY_5yjcGF2XGBMNZRCAIB0Kwfpjp8YEOfu-bneM/edit?usp=sharing"",""งานกองทุน!I56"")"),0)</f>
        <v>0</v>
      </c>
      <c r="J823" s="269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114"/>
        <v>0</v>
      </c>
      <c r="L823" s="497"/>
      <c r="M823" s="497"/>
      <c r="N823" s="497"/>
      <c r="O823" s="497"/>
      <c r="P823" s="497"/>
      <c r="Q823" s="22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IFERROR(__xludf.DUMMYFUNCTION("IMPORTRANGE(""https://docs.google.com/spreadsheets/d/19vJNZY_5yjcGF2XGBMNZRCAIB0Kwfpjp8YEOfu-bneM/edit?usp=sharing"",""งานกองทุน!H56"")"),0)</f>
        <v>0</v>
      </c>
      <c r="J824" s="269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114"/>
        <v>0</v>
      </c>
      <c r="L824" s="497"/>
      <c r="M824" s="497"/>
      <c r="N824" s="497"/>
      <c r="O824" s="497"/>
      <c r="P824" s="497"/>
      <c r="Q824" s="22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IFERROR(__xludf.DUMMYFUNCTION("IMPORTRANGE(""https://docs.google.com/spreadsheets/d/19vJNZY_5yjcGF2XGBMNZRCAIB0Kwfpjp8YEOfu-bneM/edit?usp=sharing"",""งานกองทุน!N56"")"),0)</f>
        <v>0</v>
      </c>
      <c r="J825" s="269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114"/>
        <v>0</v>
      </c>
      <c r="L825" s="497"/>
      <c r="M825" s="497"/>
      <c r="N825" s="497"/>
      <c r="O825" s="497"/>
      <c r="P825" s="497"/>
      <c r="Q825" s="22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IFERROR(__xludf.DUMMYFUNCTION("IMPORTRANGE(""https://docs.google.com/spreadsheets/d/19vJNZY_5yjcGF2XGBMNZRCAIB0Kwfpjp8YEOfu-bneM/edit?usp=sharing"",""งานกองทุน!M56"")"),0)</f>
        <v>0</v>
      </c>
      <c r="J826" s="269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114"/>
        <v>0</v>
      </c>
      <c r="L826" s="497"/>
      <c r="M826" s="497"/>
      <c r="N826" s="497"/>
      <c r="O826" s="497"/>
      <c r="P826" s="497"/>
      <c r="Q826" s="22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IFERROR(__xludf.DUMMYFUNCTION("IMPORTRANGE(""https://docs.google.com/spreadsheets/d/19vJNZY_5yjcGF2XGBMNZRCAIB0Kwfpjp8YEOfu-bneM/edit?usp=sharing"",""งานกองทุน!S56"")"),10120000)</f>
        <v>10120000</v>
      </c>
      <c r="J827" s="269">
        <f ca="1">IFERROR(__xludf.DUMMYFUNCTION("IMPORTRANGE(""https://docs.google.com/spreadsheets/d/19vJNZY_5yjcGF2XGBMNZRCAIB0Kwfpjp8YEOfu-bneM/edit?usp=sharing"",""งานกองทุน!U56"")"),12260000)</f>
        <v>12260000</v>
      </c>
      <c r="K827" s="497">
        <f t="shared" ca="1" si="114"/>
        <v>121.14624505928853</v>
      </c>
      <c r="L827" s="497"/>
      <c r="M827" s="497"/>
      <c r="N827" s="497"/>
      <c r="O827" s="497"/>
      <c r="P827" s="497"/>
      <c r="Q827" s="22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IFERROR(__xludf.DUMMYFUNCTION("IMPORTRANGE(""https://docs.google.com/spreadsheets/d/19vJNZY_5yjcGF2XGBMNZRCAIB0Kwfpjp8YEOfu-bneM/edit?usp=sharing"",""งานกองทุน!T56"")"),249)</f>
        <v>249</v>
      </c>
      <c r="K828" s="502">
        <f t="shared" ca="1" si="114"/>
        <v>100</v>
      </c>
      <c r="L828" s="502"/>
      <c r="M828" s="502"/>
      <c r="N828" s="502"/>
      <c r="O828" s="502"/>
      <c r="P828" s="502"/>
      <c r="Q828" s="22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73"/>
      <c r="E829" s="677"/>
      <c r="F829" s="677"/>
      <c r="G829" s="677"/>
      <c r="H829" s="872"/>
      <c r="I829" s="871"/>
      <c r="J829" s="871"/>
      <c r="K829" s="870"/>
      <c r="L829" s="870"/>
      <c r="M829" s="870"/>
      <c r="N829" s="870"/>
      <c r="O829" s="870"/>
      <c r="P829" s="870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73"/>
      <c r="E830" s="677"/>
      <c r="F830" s="677"/>
      <c r="G830" s="677"/>
      <c r="H830" s="872"/>
      <c r="I830" s="871"/>
      <c r="J830" s="871"/>
      <c r="K830" s="870"/>
      <c r="L830" s="870"/>
      <c r="M830" s="870"/>
      <c r="N830" s="870"/>
      <c r="O830" s="870"/>
      <c r="P830" s="870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73"/>
      <c r="E831" s="677"/>
      <c r="F831" s="677"/>
      <c r="G831" s="677"/>
      <c r="H831" s="872"/>
      <c r="I831" s="871"/>
      <c r="J831" s="871"/>
      <c r="K831" s="870"/>
      <c r="L831" s="870"/>
      <c r="M831" s="870"/>
      <c r="N831" s="870"/>
      <c r="O831" s="870"/>
      <c r="P831" s="870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73"/>
      <c r="E832" s="677"/>
      <c r="F832" s="677"/>
      <c r="G832" s="677"/>
      <c r="H832" s="872"/>
      <c r="I832" s="871"/>
      <c r="J832" s="871"/>
      <c r="K832" s="870"/>
      <c r="L832" s="870"/>
      <c r="M832" s="870"/>
      <c r="N832" s="870"/>
      <c r="O832" s="870"/>
      <c r="P832" s="870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73"/>
      <c r="E833" s="677"/>
      <c r="F833" s="677"/>
      <c r="G833" s="677"/>
      <c r="H833" s="872"/>
      <c r="I833" s="871"/>
      <c r="J833" s="871"/>
      <c r="K833" s="870"/>
      <c r="L833" s="870"/>
      <c r="M833" s="870"/>
      <c r="N833" s="870"/>
      <c r="O833" s="870"/>
      <c r="P833" s="870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73"/>
      <c r="E834" s="677"/>
      <c r="F834" s="677"/>
      <c r="G834" s="677"/>
      <c r="H834" s="872"/>
      <c r="I834" s="871"/>
      <c r="J834" s="871"/>
      <c r="K834" s="870"/>
      <c r="L834" s="870"/>
      <c r="M834" s="870"/>
      <c r="N834" s="870"/>
      <c r="O834" s="870"/>
      <c r="P834" s="870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73"/>
      <c r="E835" s="677"/>
      <c r="F835" s="677"/>
      <c r="G835" s="677"/>
      <c r="H835" s="872"/>
      <c r="I835" s="871"/>
      <c r="J835" s="871"/>
      <c r="K835" s="870"/>
      <c r="L835" s="870"/>
      <c r="M835" s="870"/>
      <c r="N835" s="870"/>
      <c r="O835" s="870"/>
      <c r="P835" s="870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73"/>
      <c r="E836" s="677"/>
      <c r="F836" s="677"/>
      <c r="G836" s="677"/>
      <c r="H836" s="872"/>
      <c r="I836" s="871"/>
      <c r="J836" s="871"/>
      <c r="K836" s="870"/>
      <c r="L836" s="870"/>
      <c r="M836" s="870"/>
      <c r="N836" s="870"/>
      <c r="O836" s="870"/>
      <c r="P836" s="870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73"/>
      <c r="E837" s="677"/>
      <c r="F837" s="677"/>
      <c r="G837" s="677"/>
      <c r="H837" s="872"/>
      <c r="I837" s="871"/>
      <c r="J837" s="871"/>
      <c r="K837" s="870"/>
      <c r="L837" s="870"/>
      <c r="M837" s="870"/>
      <c r="N837" s="870"/>
      <c r="O837" s="870"/>
      <c r="P837" s="870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73"/>
      <c r="E838" s="677"/>
      <c r="F838" s="677"/>
      <c r="G838" s="677"/>
      <c r="H838" s="872"/>
      <c r="I838" s="871"/>
      <c r="J838" s="871"/>
      <c r="K838" s="870"/>
      <c r="L838" s="870"/>
      <c r="M838" s="870"/>
      <c r="N838" s="870"/>
      <c r="O838" s="870"/>
      <c r="P838" s="870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73"/>
      <c r="E839" s="677"/>
      <c r="F839" s="677"/>
      <c r="G839" s="677"/>
      <c r="H839" s="872"/>
      <c r="I839" s="871"/>
      <c r="J839" s="871"/>
      <c r="K839" s="870"/>
      <c r="L839" s="870"/>
      <c r="M839" s="870"/>
      <c r="N839" s="870"/>
      <c r="O839" s="870"/>
      <c r="P839" s="870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73"/>
      <c r="E840" s="677"/>
      <c r="F840" s="677"/>
      <c r="G840" s="677"/>
      <c r="H840" s="872"/>
      <c r="I840" s="871"/>
      <c r="J840" s="871"/>
      <c r="K840" s="870"/>
      <c r="L840" s="870"/>
      <c r="M840" s="870"/>
      <c r="N840" s="870"/>
      <c r="O840" s="870"/>
      <c r="P840" s="870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73"/>
      <c r="E841" s="677"/>
      <c r="F841" s="677"/>
      <c r="G841" s="677"/>
      <c r="H841" s="872"/>
      <c r="I841" s="871"/>
      <c r="J841" s="871"/>
      <c r="K841" s="870"/>
      <c r="L841" s="870"/>
      <c r="M841" s="870"/>
      <c r="N841" s="870"/>
      <c r="O841" s="870"/>
      <c r="P841" s="870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73"/>
      <c r="E842" s="677"/>
      <c r="F842" s="677"/>
      <c r="G842" s="677"/>
      <c r="H842" s="872"/>
      <c r="I842" s="871"/>
      <c r="J842" s="871"/>
      <c r="K842" s="870"/>
      <c r="L842" s="870"/>
      <c r="M842" s="870"/>
      <c r="N842" s="870"/>
      <c r="O842" s="870"/>
      <c r="P842" s="870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73"/>
      <c r="E843" s="677"/>
      <c r="F843" s="677"/>
      <c r="G843" s="677"/>
      <c r="H843" s="872"/>
      <c r="I843" s="871"/>
      <c r="J843" s="871"/>
      <c r="K843" s="870"/>
      <c r="L843" s="870"/>
      <c r="M843" s="870"/>
      <c r="N843" s="870"/>
      <c r="O843" s="870"/>
      <c r="P843" s="870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73"/>
      <c r="E844" s="677"/>
      <c r="F844" s="677"/>
      <c r="G844" s="677"/>
      <c r="H844" s="872"/>
      <c r="I844" s="871"/>
      <c r="J844" s="871"/>
      <c r="K844" s="870"/>
      <c r="L844" s="870"/>
      <c r="M844" s="870"/>
      <c r="N844" s="870"/>
      <c r="O844" s="870"/>
      <c r="P844" s="870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73"/>
      <c r="E845" s="677"/>
      <c r="F845" s="677"/>
      <c r="G845" s="677"/>
      <c r="H845" s="872"/>
      <c r="I845" s="871"/>
      <c r="J845" s="871"/>
      <c r="K845" s="870"/>
      <c r="L845" s="870"/>
      <c r="M845" s="870"/>
      <c r="N845" s="870"/>
      <c r="O845" s="870"/>
      <c r="P845" s="870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73"/>
      <c r="E846" s="677"/>
      <c r="F846" s="677"/>
      <c r="G846" s="677"/>
      <c r="H846" s="872"/>
      <c r="I846" s="871"/>
      <c r="J846" s="871"/>
      <c r="K846" s="870"/>
      <c r="L846" s="870"/>
      <c r="M846" s="870"/>
      <c r="N846" s="870"/>
      <c r="O846" s="870"/>
      <c r="P846" s="870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73"/>
      <c r="E847" s="677"/>
      <c r="F847" s="677"/>
      <c r="G847" s="677"/>
      <c r="H847" s="872"/>
      <c r="I847" s="871"/>
      <c r="J847" s="871"/>
      <c r="K847" s="870"/>
      <c r="L847" s="870"/>
      <c r="M847" s="870"/>
      <c r="N847" s="870"/>
      <c r="O847" s="870"/>
      <c r="P847" s="870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73"/>
      <c r="E848" s="677"/>
      <c r="F848" s="677"/>
      <c r="G848" s="677"/>
      <c r="H848" s="872"/>
      <c r="I848" s="871"/>
      <c r="J848" s="871"/>
      <c r="K848" s="870"/>
      <c r="L848" s="870"/>
      <c r="M848" s="870"/>
      <c r="N848" s="870"/>
      <c r="O848" s="870"/>
      <c r="P848" s="870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73"/>
      <c r="E849" s="677"/>
      <c r="F849" s="677"/>
      <c r="G849" s="677"/>
      <c r="H849" s="872"/>
      <c r="I849" s="871"/>
      <c r="J849" s="871"/>
      <c r="K849" s="870"/>
      <c r="L849" s="870"/>
      <c r="M849" s="870"/>
      <c r="N849" s="870"/>
      <c r="O849" s="870"/>
      <c r="P849" s="870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73"/>
      <c r="E850" s="677"/>
      <c r="F850" s="677"/>
      <c r="G850" s="677"/>
      <c r="H850" s="872"/>
      <c r="I850" s="871"/>
      <c r="J850" s="871"/>
      <c r="K850" s="870"/>
      <c r="L850" s="870"/>
      <c r="M850" s="870"/>
      <c r="N850" s="870"/>
      <c r="O850" s="870"/>
      <c r="P850" s="870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73"/>
      <c r="E851" s="677"/>
      <c r="F851" s="677"/>
      <c r="G851" s="677"/>
      <c r="H851" s="872"/>
      <c r="I851" s="871"/>
      <c r="J851" s="871"/>
      <c r="K851" s="870"/>
      <c r="L851" s="870"/>
      <c r="M851" s="870"/>
      <c r="N851" s="870"/>
      <c r="O851" s="870"/>
      <c r="P851" s="870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73"/>
      <c r="E852" s="677"/>
      <c r="F852" s="677"/>
      <c r="G852" s="677"/>
      <c r="H852" s="872"/>
      <c r="I852" s="871"/>
      <c r="J852" s="871"/>
      <c r="K852" s="870"/>
      <c r="L852" s="870"/>
      <c r="M852" s="870"/>
      <c r="N852" s="870"/>
      <c r="O852" s="870"/>
      <c r="P852" s="870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73"/>
      <c r="E853" s="677"/>
      <c r="F853" s="677"/>
      <c r="G853" s="677"/>
      <c r="H853" s="872"/>
      <c r="I853" s="871"/>
      <c r="J853" s="871"/>
      <c r="K853" s="870"/>
      <c r="L853" s="870"/>
      <c r="M853" s="870"/>
      <c r="N853" s="870"/>
      <c r="O853" s="870"/>
      <c r="P853" s="870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73"/>
      <c r="E854" s="677"/>
      <c r="F854" s="677"/>
      <c r="G854" s="677"/>
      <c r="H854" s="872"/>
      <c r="I854" s="871"/>
      <c r="J854" s="871"/>
      <c r="K854" s="870"/>
      <c r="L854" s="870"/>
      <c r="M854" s="870"/>
      <c r="N854" s="870"/>
      <c r="O854" s="870"/>
      <c r="P854" s="870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73"/>
      <c r="E855" s="677"/>
      <c r="F855" s="677"/>
      <c r="G855" s="677"/>
      <c r="H855" s="872"/>
      <c r="I855" s="871"/>
      <c r="J855" s="871"/>
      <c r="K855" s="870"/>
      <c r="L855" s="870"/>
      <c r="M855" s="870"/>
      <c r="N855" s="870"/>
      <c r="O855" s="870"/>
      <c r="P855" s="870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73"/>
      <c r="E856" s="677"/>
      <c r="F856" s="677"/>
      <c r="G856" s="677"/>
      <c r="H856" s="872"/>
      <c r="I856" s="871"/>
      <c r="J856" s="871"/>
      <c r="K856" s="870"/>
      <c r="L856" s="870"/>
      <c r="M856" s="870"/>
      <c r="N856" s="870"/>
      <c r="O856" s="870"/>
      <c r="P856" s="870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73"/>
      <c r="E857" s="677"/>
      <c r="F857" s="677"/>
      <c r="G857" s="677"/>
      <c r="H857" s="872"/>
      <c r="I857" s="871"/>
      <c r="J857" s="871"/>
      <c r="K857" s="870"/>
      <c r="L857" s="870"/>
      <c r="M857" s="870"/>
      <c r="N857" s="870"/>
      <c r="O857" s="870"/>
      <c r="P857" s="870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73"/>
      <c r="E858" s="677"/>
      <c r="F858" s="677"/>
      <c r="G858" s="677"/>
      <c r="H858" s="872"/>
      <c r="I858" s="871"/>
      <c r="J858" s="871"/>
      <c r="K858" s="870"/>
      <c r="L858" s="870"/>
      <c r="M858" s="870"/>
      <c r="N858" s="870"/>
      <c r="O858" s="870"/>
      <c r="P858" s="870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73"/>
      <c r="E859" s="677"/>
      <c r="F859" s="677"/>
      <c r="G859" s="677"/>
      <c r="H859" s="872"/>
      <c r="I859" s="871"/>
      <c r="J859" s="871"/>
      <c r="K859" s="870"/>
      <c r="L859" s="870"/>
      <c r="M859" s="870"/>
      <c r="N859" s="870"/>
      <c r="O859" s="870"/>
      <c r="P859" s="870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73"/>
      <c r="E860" s="677"/>
      <c r="F860" s="677"/>
      <c r="G860" s="677"/>
      <c r="H860" s="872"/>
      <c r="I860" s="871"/>
      <c r="J860" s="871"/>
      <c r="K860" s="870"/>
      <c r="L860" s="870"/>
      <c r="M860" s="870"/>
      <c r="N860" s="870"/>
      <c r="O860" s="870"/>
      <c r="P860" s="870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73"/>
      <c r="E861" s="677"/>
      <c r="F861" s="677"/>
      <c r="G861" s="677"/>
      <c r="H861" s="872"/>
      <c r="I861" s="871"/>
      <c r="J861" s="871"/>
      <c r="K861" s="870"/>
      <c r="L861" s="870"/>
      <c r="M861" s="870"/>
      <c r="N861" s="870"/>
      <c r="O861" s="870"/>
      <c r="P861" s="870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73"/>
      <c r="E862" s="677"/>
      <c r="F862" s="677"/>
      <c r="G862" s="677"/>
      <c r="H862" s="872"/>
      <c r="I862" s="871"/>
      <c r="J862" s="871"/>
      <c r="K862" s="870"/>
      <c r="L862" s="870"/>
      <c r="M862" s="870"/>
      <c r="N862" s="870"/>
      <c r="O862" s="870"/>
      <c r="P862" s="870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73"/>
      <c r="E863" s="677"/>
      <c r="F863" s="677"/>
      <c r="G863" s="677"/>
      <c r="H863" s="872"/>
      <c r="I863" s="871"/>
      <c r="J863" s="871"/>
      <c r="K863" s="870"/>
      <c r="L863" s="870"/>
      <c r="M863" s="870"/>
      <c r="N863" s="870"/>
      <c r="O863" s="870"/>
      <c r="P863" s="870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73"/>
      <c r="E864" s="677"/>
      <c r="F864" s="677"/>
      <c r="G864" s="677"/>
      <c r="H864" s="872"/>
      <c r="I864" s="871"/>
      <c r="J864" s="871"/>
      <c r="K864" s="870"/>
      <c r="L864" s="870"/>
      <c r="M864" s="870"/>
      <c r="N864" s="870"/>
      <c r="O864" s="870"/>
      <c r="P864" s="870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73"/>
      <c r="E865" s="677"/>
      <c r="F865" s="677"/>
      <c r="G865" s="677"/>
      <c r="H865" s="872"/>
      <c r="I865" s="871"/>
      <c r="J865" s="871"/>
      <c r="K865" s="870"/>
      <c r="L865" s="870"/>
      <c r="M865" s="870"/>
      <c r="N865" s="870"/>
      <c r="O865" s="870"/>
      <c r="P865" s="870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73"/>
      <c r="E866" s="677"/>
      <c r="F866" s="677"/>
      <c r="G866" s="677"/>
      <c r="H866" s="872"/>
      <c r="I866" s="871"/>
      <c r="J866" s="871"/>
      <c r="K866" s="870"/>
      <c r="L866" s="870"/>
      <c r="M866" s="870"/>
      <c r="N866" s="870"/>
      <c r="O866" s="870"/>
      <c r="P866" s="870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73"/>
      <c r="E867" s="677"/>
      <c r="F867" s="677"/>
      <c r="G867" s="677"/>
      <c r="H867" s="872"/>
      <c r="I867" s="871"/>
      <c r="J867" s="871"/>
      <c r="K867" s="870"/>
      <c r="L867" s="870"/>
      <c r="M867" s="870"/>
      <c r="N867" s="870"/>
      <c r="O867" s="870"/>
      <c r="P867" s="870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73"/>
      <c r="E868" s="677"/>
      <c r="F868" s="677"/>
      <c r="G868" s="677"/>
      <c r="H868" s="872"/>
      <c r="I868" s="871"/>
      <c r="J868" s="871"/>
      <c r="K868" s="870"/>
      <c r="L868" s="870"/>
      <c r="M868" s="870"/>
      <c r="N868" s="870"/>
      <c r="O868" s="870"/>
      <c r="P868" s="870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73"/>
      <c r="E869" s="677"/>
      <c r="F869" s="677"/>
      <c r="G869" s="677"/>
      <c r="H869" s="872"/>
      <c r="I869" s="871"/>
      <c r="J869" s="871"/>
      <c r="K869" s="870"/>
      <c r="L869" s="870"/>
      <c r="M869" s="870"/>
      <c r="N869" s="870"/>
      <c r="O869" s="870"/>
      <c r="P869" s="870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73"/>
      <c r="E870" s="677"/>
      <c r="F870" s="677"/>
      <c r="G870" s="677"/>
      <c r="H870" s="872"/>
      <c r="I870" s="871"/>
      <c r="J870" s="871"/>
      <c r="K870" s="870"/>
      <c r="L870" s="870"/>
      <c r="M870" s="870"/>
      <c r="N870" s="870"/>
      <c r="O870" s="870"/>
      <c r="P870" s="870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73"/>
      <c r="E871" s="677"/>
      <c r="F871" s="677"/>
      <c r="G871" s="677"/>
      <c r="H871" s="872"/>
      <c r="I871" s="871"/>
      <c r="J871" s="871"/>
      <c r="K871" s="870"/>
      <c r="L871" s="870"/>
      <c r="M871" s="870"/>
      <c r="N871" s="870"/>
      <c r="O871" s="870"/>
      <c r="P871" s="870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73"/>
      <c r="E872" s="677"/>
      <c r="F872" s="677"/>
      <c r="G872" s="677"/>
      <c r="H872" s="872"/>
      <c r="I872" s="871"/>
      <c r="J872" s="871"/>
      <c r="K872" s="870"/>
      <c r="L872" s="870"/>
      <c r="M872" s="870"/>
      <c r="N872" s="870"/>
      <c r="O872" s="870"/>
      <c r="P872" s="870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73"/>
      <c r="E873" s="677"/>
      <c r="F873" s="677"/>
      <c r="G873" s="677"/>
      <c r="H873" s="872"/>
      <c r="I873" s="871"/>
      <c r="J873" s="871"/>
      <c r="K873" s="870"/>
      <c r="L873" s="870"/>
      <c r="M873" s="870"/>
      <c r="N873" s="870"/>
      <c r="O873" s="870"/>
      <c r="P873" s="870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73"/>
      <c r="E874" s="677"/>
      <c r="F874" s="677"/>
      <c r="G874" s="677"/>
      <c r="H874" s="872"/>
      <c r="I874" s="871"/>
      <c r="J874" s="871"/>
      <c r="K874" s="870"/>
      <c r="L874" s="870"/>
      <c r="M874" s="870"/>
      <c r="N874" s="870"/>
      <c r="O874" s="870"/>
      <c r="P874" s="870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73"/>
      <c r="E875" s="677"/>
      <c r="F875" s="677"/>
      <c r="G875" s="677"/>
      <c r="H875" s="872"/>
      <c r="I875" s="871"/>
      <c r="J875" s="871"/>
      <c r="K875" s="870"/>
      <c r="L875" s="870"/>
      <c r="M875" s="870"/>
      <c r="N875" s="870"/>
      <c r="O875" s="870"/>
      <c r="P875" s="870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73"/>
      <c r="E876" s="677"/>
      <c r="F876" s="677"/>
      <c r="G876" s="677"/>
      <c r="H876" s="872"/>
      <c r="I876" s="871"/>
      <c r="J876" s="871"/>
      <c r="K876" s="870"/>
      <c r="L876" s="870"/>
      <c r="M876" s="870"/>
      <c r="N876" s="870"/>
      <c r="O876" s="870"/>
      <c r="P876" s="870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73"/>
      <c r="E877" s="677"/>
      <c r="F877" s="677"/>
      <c r="G877" s="677"/>
      <c r="H877" s="872"/>
      <c r="I877" s="871"/>
      <c r="J877" s="871"/>
      <c r="K877" s="870"/>
      <c r="L877" s="870"/>
      <c r="M877" s="870"/>
      <c r="N877" s="870"/>
      <c r="O877" s="870"/>
      <c r="P877" s="870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73"/>
      <c r="E878" s="677"/>
      <c r="F878" s="677"/>
      <c r="G878" s="677"/>
      <c r="H878" s="872"/>
      <c r="I878" s="871"/>
      <c r="J878" s="871"/>
      <c r="K878" s="870"/>
      <c r="L878" s="870"/>
      <c r="M878" s="870"/>
      <c r="N878" s="870"/>
      <c r="O878" s="870"/>
      <c r="P878" s="870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73"/>
      <c r="E879" s="677"/>
      <c r="F879" s="677"/>
      <c r="G879" s="677"/>
      <c r="H879" s="872"/>
      <c r="I879" s="871"/>
      <c r="J879" s="871"/>
      <c r="K879" s="870"/>
      <c r="L879" s="870"/>
      <c r="M879" s="870"/>
      <c r="N879" s="870"/>
      <c r="O879" s="870"/>
      <c r="P879" s="870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73"/>
      <c r="E880" s="677"/>
      <c r="F880" s="677"/>
      <c r="G880" s="677"/>
      <c r="H880" s="872"/>
      <c r="I880" s="871"/>
      <c r="J880" s="871"/>
      <c r="K880" s="870"/>
      <c r="L880" s="870"/>
      <c r="M880" s="870"/>
      <c r="N880" s="870"/>
      <c r="O880" s="870"/>
      <c r="P880" s="870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73"/>
      <c r="E881" s="677"/>
      <c r="F881" s="677"/>
      <c r="G881" s="677"/>
      <c r="H881" s="872"/>
      <c r="I881" s="871"/>
      <c r="J881" s="871"/>
      <c r="K881" s="870"/>
      <c r="L881" s="870"/>
      <c r="M881" s="870"/>
      <c r="N881" s="870"/>
      <c r="O881" s="870"/>
      <c r="P881" s="870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73"/>
      <c r="E882" s="677"/>
      <c r="F882" s="677"/>
      <c r="G882" s="677"/>
      <c r="H882" s="872"/>
      <c r="I882" s="871"/>
      <c r="J882" s="871"/>
      <c r="K882" s="870"/>
      <c r="L882" s="870"/>
      <c r="M882" s="870"/>
      <c r="N882" s="870"/>
      <c r="O882" s="870"/>
      <c r="P882" s="870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73"/>
      <c r="E883" s="677"/>
      <c r="F883" s="677"/>
      <c r="G883" s="677"/>
      <c r="H883" s="872"/>
      <c r="I883" s="871"/>
      <c r="J883" s="871"/>
      <c r="K883" s="870"/>
      <c r="L883" s="870"/>
      <c r="M883" s="870"/>
      <c r="N883" s="870"/>
      <c r="O883" s="870"/>
      <c r="P883" s="870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73"/>
      <c r="E884" s="677"/>
      <c r="F884" s="677"/>
      <c r="G884" s="677"/>
      <c r="H884" s="872"/>
      <c r="I884" s="871"/>
      <c r="J884" s="871"/>
      <c r="K884" s="870"/>
      <c r="L884" s="870"/>
      <c r="M884" s="870"/>
      <c r="N884" s="870"/>
      <c r="O884" s="870"/>
      <c r="P884" s="870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73"/>
      <c r="E885" s="677"/>
      <c r="F885" s="677"/>
      <c r="G885" s="677"/>
      <c r="H885" s="872"/>
      <c r="I885" s="871"/>
      <c r="J885" s="871"/>
      <c r="K885" s="870"/>
      <c r="L885" s="870"/>
      <c r="M885" s="870"/>
      <c r="N885" s="870"/>
      <c r="O885" s="870"/>
      <c r="P885" s="870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73"/>
      <c r="E886" s="677"/>
      <c r="F886" s="677"/>
      <c r="G886" s="677"/>
      <c r="H886" s="872"/>
      <c r="I886" s="871"/>
      <c r="J886" s="871"/>
      <c r="K886" s="870"/>
      <c r="L886" s="870"/>
      <c r="M886" s="870"/>
      <c r="N886" s="870"/>
      <c r="O886" s="870"/>
      <c r="P886" s="870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73"/>
      <c r="E887" s="677"/>
      <c r="F887" s="677"/>
      <c r="G887" s="677"/>
      <c r="H887" s="872"/>
      <c r="I887" s="871"/>
      <c r="J887" s="871"/>
      <c r="K887" s="870"/>
      <c r="L887" s="870"/>
      <c r="M887" s="870"/>
      <c r="N887" s="870"/>
      <c r="O887" s="870"/>
      <c r="P887" s="870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73"/>
      <c r="E888" s="677"/>
      <c r="F888" s="677"/>
      <c r="G888" s="677"/>
      <c r="H888" s="872"/>
      <c r="I888" s="871"/>
      <c r="J888" s="871"/>
      <c r="K888" s="870"/>
      <c r="L888" s="870"/>
      <c r="M888" s="870"/>
      <c r="N888" s="870"/>
      <c r="O888" s="870"/>
      <c r="P888" s="870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73"/>
      <c r="E889" s="677"/>
      <c r="F889" s="677"/>
      <c r="G889" s="677"/>
      <c r="H889" s="872"/>
      <c r="I889" s="871"/>
      <c r="J889" s="871"/>
      <c r="K889" s="870"/>
      <c r="L889" s="870"/>
      <c r="M889" s="870"/>
      <c r="N889" s="870"/>
      <c r="O889" s="870"/>
      <c r="P889" s="870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73"/>
      <c r="E890" s="677"/>
      <c r="F890" s="677"/>
      <c r="G890" s="677"/>
      <c r="H890" s="872"/>
      <c r="I890" s="871"/>
      <c r="J890" s="871"/>
      <c r="K890" s="870"/>
      <c r="L890" s="870"/>
      <c r="M890" s="870"/>
      <c r="N890" s="870"/>
      <c r="O890" s="870"/>
      <c r="P890" s="870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73"/>
      <c r="E891" s="677"/>
      <c r="F891" s="677"/>
      <c r="G891" s="677"/>
      <c r="H891" s="872"/>
      <c r="I891" s="871"/>
      <c r="J891" s="871"/>
      <c r="K891" s="870"/>
      <c r="L891" s="870"/>
      <c r="M891" s="870"/>
      <c r="N891" s="870"/>
      <c r="O891" s="870"/>
      <c r="P891" s="870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73"/>
      <c r="E892" s="677"/>
      <c r="F892" s="677"/>
      <c r="G892" s="677"/>
      <c r="H892" s="872"/>
      <c r="I892" s="871"/>
      <c r="J892" s="871"/>
      <c r="K892" s="870"/>
      <c r="L892" s="870"/>
      <c r="M892" s="870"/>
      <c r="N892" s="870"/>
      <c r="O892" s="870"/>
      <c r="P892" s="870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73"/>
      <c r="E893" s="677"/>
      <c r="F893" s="677"/>
      <c r="G893" s="677"/>
      <c r="H893" s="872"/>
      <c r="I893" s="871"/>
      <c r="J893" s="871"/>
      <c r="K893" s="870"/>
      <c r="L893" s="870"/>
      <c r="M893" s="870"/>
      <c r="N893" s="870"/>
      <c r="O893" s="870"/>
      <c r="P893" s="870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73"/>
      <c r="E894" s="677"/>
      <c r="F894" s="677"/>
      <c r="G894" s="677"/>
      <c r="H894" s="872"/>
      <c r="I894" s="871"/>
      <c r="J894" s="871"/>
      <c r="K894" s="870"/>
      <c r="L894" s="870"/>
      <c r="M894" s="870"/>
      <c r="N894" s="870"/>
      <c r="O894" s="870"/>
      <c r="P894" s="870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73"/>
      <c r="E895" s="677"/>
      <c r="F895" s="677"/>
      <c r="G895" s="677"/>
      <c r="H895" s="872"/>
      <c r="I895" s="871"/>
      <c r="J895" s="871"/>
      <c r="K895" s="870"/>
      <c r="L895" s="870"/>
      <c r="M895" s="870"/>
      <c r="N895" s="870"/>
      <c r="O895" s="870"/>
      <c r="P895" s="870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73"/>
      <c r="E896" s="677"/>
      <c r="F896" s="677"/>
      <c r="G896" s="677"/>
      <c r="H896" s="872"/>
      <c r="I896" s="871"/>
      <c r="J896" s="871"/>
      <c r="K896" s="870"/>
      <c r="L896" s="870"/>
      <c r="M896" s="870"/>
      <c r="N896" s="870"/>
      <c r="O896" s="870"/>
      <c r="P896" s="870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73"/>
      <c r="E897" s="677"/>
      <c r="F897" s="677"/>
      <c r="G897" s="677"/>
      <c r="H897" s="872"/>
      <c r="I897" s="871"/>
      <c r="J897" s="871"/>
      <c r="K897" s="870"/>
      <c r="L897" s="870"/>
      <c r="M897" s="870"/>
      <c r="N897" s="870"/>
      <c r="O897" s="870"/>
      <c r="P897" s="870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73"/>
      <c r="E898" s="677"/>
      <c r="F898" s="677"/>
      <c r="G898" s="677"/>
      <c r="H898" s="872"/>
      <c r="I898" s="871"/>
      <c r="J898" s="871"/>
      <c r="K898" s="870"/>
      <c r="L898" s="870"/>
      <c r="M898" s="870"/>
      <c r="N898" s="870"/>
      <c r="O898" s="870"/>
      <c r="P898" s="870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73"/>
      <c r="E899" s="677"/>
      <c r="F899" s="677"/>
      <c r="G899" s="677"/>
      <c r="H899" s="872"/>
      <c r="I899" s="871"/>
      <c r="J899" s="871"/>
      <c r="K899" s="870"/>
      <c r="L899" s="870"/>
      <c r="M899" s="870"/>
      <c r="N899" s="870"/>
      <c r="O899" s="870"/>
      <c r="P899" s="870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73"/>
      <c r="E900" s="677"/>
      <c r="F900" s="677"/>
      <c r="G900" s="677"/>
      <c r="H900" s="872"/>
      <c r="I900" s="871"/>
      <c r="J900" s="871"/>
      <c r="K900" s="870"/>
      <c r="L900" s="870"/>
      <c r="M900" s="870"/>
      <c r="N900" s="870"/>
      <c r="O900" s="870"/>
      <c r="P900" s="870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73"/>
      <c r="E901" s="677"/>
      <c r="F901" s="677"/>
      <c r="G901" s="677"/>
      <c r="H901" s="872"/>
      <c r="I901" s="871"/>
      <c r="J901" s="871"/>
      <c r="K901" s="870"/>
      <c r="L901" s="870"/>
      <c r="M901" s="870"/>
      <c r="N901" s="870"/>
      <c r="O901" s="870"/>
      <c r="P901" s="870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73"/>
      <c r="E902" s="677"/>
      <c r="F902" s="677"/>
      <c r="G902" s="677"/>
      <c r="H902" s="872"/>
      <c r="I902" s="871"/>
      <c r="J902" s="871"/>
      <c r="K902" s="870"/>
      <c r="L902" s="870"/>
      <c r="M902" s="870"/>
      <c r="N902" s="870"/>
      <c r="O902" s="870"/>
      <c r="P902" s="870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73"/>
      <c r="E903" s="677"/>
      <c r="F903" s="677"/>
      <c r="G903" s="677"/>
      <c r="H903" s="872"/>
      <c r="I903" s="871"/>
      <c r="J903" s="871"/>
      <c r="K903" s="870"/>
      <c r="L903" s="870"/>
      <c r="M903" s="870"/>
      <c r="N903" s="870"/>
      <c r="O903" s="870"/>
      <c r="P903" s="870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73"/>
      <c r="E904" s="677"/>
      <c r="F904" s="677"/>
      <c r="G904" s="677"/>
      <c r="H904" s="872"/>
      <c r="I904" s="871"/>
      <c r="J904" s="871"/>
      <c r="K904" s="870"/>
      <c r="L904" s="870"/>
      <c r="M904" s="870"/>
      <c r="N904" s="870"/>
      <c r="O904" s="870"/>
      <c r="P904" s="870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73"/>
      <c r="E905" s="677"/>
      <c r="F905" s="677"/>
      <c r="G905" s="677"/>
      <c r="H905" s="872"/>
      <c r="I905" s="871"/>
      <c r="J905" s="871"/>
      <c r="K905" s="870"/>
      <c r="L905" s="870"/>
      <c r="M905" s="870"/>
      <c r="N905" s="870"/>
      <c r="O905" s="870"/>
      <c r="P905" s="870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73"/>
      <c r="E906" s="677"/>
      <c r="F906" s="677"/>
      <c r="G906" s="677"/>
      <c r="H906" s="872"/>
      <c r="I906" s="871"/>
      <c r="J906" s="871"/>
      <c r="K906" s="870"/>
      <c r="L906" s="870"/>
      <c r="M906" s="870"/>
      <c r="N906" s="870"/>
      <c r="O906" s="870"/>
      <c r="P906" s="870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73"/>
      <c r="E907" s="677"/>
      <c r="F907" s="677"/>
      <c r="G907" s="677"/>
      <c r="H907" s="872"/>
      <c r="I907" s="871"/>
      <c r="J907" s="871"/>
      <c r="K907" s="870"/>
      <c r="L907" s="870"/>
      <c r="M907" s="870"/>
      <c r="N907" s="870"/>
      <c r="O907" s="870"/>
      <c r="P907" s="870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73"/>
      <c r="E908" s="677"/>
      <c r="F908" s="677"/>
      <c r="G908" s="677"/>
      <c r="H908" s="872"/>
      <c r="I908" s="871"/>
      <c r="J908" s="871"/>
      <c r="K908" s="870"/>
      <c r="L908" s="870"/>
      <c r="M908" s="870"/>
      <c r="N908" s="870"/>
      <c r="O908" s="870"/>
      <c r="P908" s="870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73"/>
      <c r="E909" s="677"/>
      <c r="F909" s="677"/>
      <c r="G909" s="677"/>
      <c r="H909" s="872"/>
      <c r="I909" s="871"/>
      <c r="J909" s="871"/>
      <c r="K909" s="870"/>
      <c r="L909" s="870"/>
      <c r="M909" s="870"/>
      <c r="N909" s="870"/>
      <c r="O909" s="870"/>
      <c r="P909" s="870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73"/>
      <c r="E910" s="677"/>
      <c r="F910" s="677"/>
      <c r="G910" s="677"/>
      <c r="H910" s="872"/>
      <c r="I910" s="871"/>
      <c r="J910" s="871"/>
      <c r="K910" s="870"/>
      <c r="L910" s="870"/>
      <c r="M910" s="870"/>
      <c r="N910" s="870"/>
      <c r="O910" s="870"/>
      <c r="P910" s="870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73"/>
      <c r="E911" s="677"/>
      <c r="F911" s="677"/>
      <c r="G911" s="677"/>
      <c r="H911" s="872"/>
      <c r="I911" s="871"/>
      <c r="J911" s="871"/>
      <c r="K911" s="870"/>
      <c r="L911" s="870"/>
      <c r="M911" s="870"/>
      <c r="N911" s="870"/>
      <c r="O911" s="870"/>
      <c r="P911" s="870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73"/>
      <c r="E912" s="677"/>
      <c r="F912" s="677"/>
      <c r="G912" s="677"/>
      <c r="H912" s="872"/>
      <c r="I912" s="871"/>
      <c r="J912" s="871"/>
      <c r="K912" s="870"/>
      <c r="L912" s="870"/>
      <c r="M912" s="870"/>
      <c r="N912" s="870"/>
      <c r="O912" s="870"/>
      <c r="P912" s="870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73"/>
      <c r="E913" s="677"/>
      <c r="F913" s="677"/>
      <c r="G913" s="677"/>
      <c r="H913" s="872"/>
      <c r="I913" s="871"/>
      <c r="J913" s="871"/>
      <c r="K913" s="870"/>
      <c r="L913" s="870"/>
      <c r="M913" s="870"/>
      <c r="N913" s="870"/>
      <c r="O913" s="870"/>
      <c r="P913" s="870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73"/>
      <c r="E914" s="677"/>
      <c r="F914" s="677"/>
      <c r="G914" s="677"/>
      <c r="H914" s="872"/>
      <c r="I914" s="871"/>
      <c r="J914" s="871"/>
      <c r="K914" s="870"/>
      <c r="L914" s="870"/>
      <c r="M914" s="870"/>
      <c r="N914" s="870"/>
      <c r="O914" s="870"/>
      <c r="P914" s="870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73"/>
      <c r="E915" s="677"/>
      <c r="F915" s="677"/>
      <c r="G915" s="677"/>
      <c r="H915" s="872"/>
      <c r="I915" s="871"/>
      <c r="J915" s="871"/>
      <c r="K915" s="870"/>
      <c r="L915" s="870"/>
      <c r="M915" s="870"/>
      <c r="N915" s="870"/>
      <c r="O915" s="870"/>
      <c r="P915" s="870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73"/>
      <c r="E916" s="677"/>
      <c r="F916" s="677"/>
      <c r="G916" s="677"/>
      <c r="H916" s="872"/>
      <c r="I916" s="871"/>
      <c r="J916" s="871"/>
      <c r="K916" s="870"/>
      <c r="L916" s="870"/>
      <c r="M916" s="870"/>
      <c r="N916" s="870"/>
      <c r="O916" s="870"/>
      <c r="P916" s="870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73"/>
      <c r="E917" s="677"/>
      <c r="F917" s="677"/>
      <c r="G917" s="677"/>
      <c r="H917" s="872"/>
      <c r="I917" s="871"/>
      <c r="J917" s="871"/>
      <c r="K917" s="870"/>
      <c r="L917" s="870"/>
      <c r="M917" s="870"/>
      <c r="N917" s="870"/>
      <c r="O917" s="870"/>
      <c r="P917" s="870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73"/>
      <c r="E918" s="677"/>
      <c r="F918" s="677"/>
      <c r="G918" s="677"/>
      <c r="H918" s="872"/>
      <c r="I918" s="871"/>
      <c r="J918" s="871"/>
      <c r="K918" s="870"/>
      <c r="L918" s="870"/>
      <c r="M918" s="870"/>
      <c r="N918" s="870"/>
      <c r="O918" s="870"/>
      <c r="P918" s="870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73"/>
      <c r="E919" s="677"/>
      <c r="F919" s="677"/>
      <c r="G919" s="677"/>
      <c r="H919" s="872"/>
      <c r="I919" s="871"/>
      <c r="J919" s="871"/>
      <c r="K919" s="870"/>
      <c r="L919" s="870"/>
      <c r="M919" s="870"/>
      <c r="N919" s="870"/>
      <c r="O919" s="870"/>
      <c r="P919" s="870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73"/>
      <c r="E920" s="677"/>
      <c r="F920" s="677"/>
      <c r="G920" s="677"/>
      <c r="H920" s="872"/>
      <c r="I920" s="871"/>
      <c r="J920" s="871"/>
      <c r="K920" s="870"/>
      <c r="L920" s="870"/>
      <c r="M920" s="870"/>
      <c r="N920" s="870"/>
      <c r="O920" s="870"/>
      <c r="P920" s="870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73"/>
      <c r="E921" s="677"/>
      <c r="F921" s="677"/>
      <c r="G921" s="677"/>
      <c r="H921" s="872"/>
      <c r="I921" s="871"/>
      <c r="J921" s="871"/>
      <c r="K921" s="870"/>
      <c r="L921" s="870"/>
      <c r="M921" s="870"/>
      <c r="N921" s="870"/>
      <c r="O921" s="870"/>
      <c r="P921" s="870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73"/>
      <c r="E922" s="677"/>
      <c r="F922" s="677"/>
      <c r="G922" s="677"/>
      <c r="H922" s="872"/>
      <c r="I922" s="871"/>
      <c r="J922" s="871"/>
      <c r="K922" s="870"/>
      <c r="L922" s="870"/>
      <c r="M922" s="870"/>
      <c r="N922" s="870"/>
      <c r="O922" s="870"/>
      <c r="P922" s="870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73"/>
      <c r="E923" s="677"/>
      <c r="F923" s="677"/>
      <c r="G923" s="677"/>
      <c r="H923" s="872"/>
      <c r="I923" s="871"/>
      <c r="J923" s="871"/>
      <c r="K923" s="870"/>
      <c r="L923" s="870"/>
      <c r="M923" s="870"/>
      <c r="N923" s="870"/>
      <c r="O923" s="870"/>
      <c r="P923" s="870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73"/>
      <c r="E924" s="677"/>
      <c r="F924" s="677"/>
      <c r="G924" s="677"/>
      <c r="H924" s="872"/>
      <c r="I924" s="871"/>
      <c r="J924" s="871"/>
      <c r="K924" s="870"/>
      <c r="L924" s="870"/>
      <c r="M924" s="870"/>
      <c r="N924" s="870"/>
      <c r="O924" s="870"/>
      <c r="P924" s="870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73"/>
      <c r="E925" s="677"/>
      <c r="F925" s="677"/>
      <c r="G925" s="677"/>
      <c r="H925" s="872"/>
      <c r="I925" s="871"/>
      <c r="J925" s="871"/>
      <c r="K925" s="870"/>
      <c r="L925" s="870"/>
      <c r="M925" s="870"/>
      <c r="N925" s="870"/>
      <c r="O925" s="870"/>
      <c r="P925" s="870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73"/>
      <c r="E926" s="677"/>
      <c r="F926" s="677"/>
      <c r="G926" s="677"/>
      <c r="H926" s="872"/>
      <c r="I926" s="871"/>
      <c r="J926" s="871"/>
      <c r="K926" s="870"/>
      <c r="L926" s="870"/>
      <c r="M926" s="870"/>
      <c r="N926" s="870"/>
      <c r="O926" s="870"/>
      <c r="P926" s="870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73"/>
      <c r="E927" s="677"/>
      <c r="F927" s="677"/>
      <c r="G927" s="677"/>
      <c r="H927" s="872"/>
      <c r="I927" s="871"/>
      <c r="J927" s="871"/>
      <c r="K927" s="870"/>
      <c r="L927" s="870"/>
      <c r="M927" s="870"/>
      <c r="N927" s="870"/>
      <c r="O927" s="870"/>
      <c r="P927" s="870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73"/>
      <c r="E928" s="677"/>
      <c r="F928" s="677"/>
      <c r="G928" s="677"/>
      <c r="H928" s="872"/>
      <c r="I928" s="871"/>
      <c r="J928" s="871"/>
      <c r="K928" s="870"/>
      <c r="L928" s="870"/>
      <c r="M928" s="870"/>
      <c r="N928" s="870"/>
      <c r="O928" s="870"/>
      <c r="P928" s="870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73"/>
      <c r="E929" s="677"/>
      <c r="F929" s="677"/>
      <c r="G929" s="677"/>
      <c r="H929" s="872"/>
      <c r="I929" s="871"/>
      <c r="J929" s="871"/>
      <c r="K929" s="870"/>
      <c r="L929" s="870"/>
      <c r="M929" s="870"/>
      <c r="N929" s="870"/>
      <c r="O929" s="870"/>
      <c r="P929" s="870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73"/>
      <c r="E930" s="677"/>
      <c r="F930" s="677"/>
      <c r="G930" s="677"/>
      <c r="H930" s="872"/>
      <c r="I930" s="871"/>
      <c r="J930" s="871"/>
      <c r="K930" s="870"/>
      <c r="L930" s="870"/>
      <c r="M930" s="870"/>
      <c r="N930" s="870"/>
      <c r="O930" s="870"/>
      <c r="P930" s="870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73"/>
      <c r="E931" s="677"/>
      <c r="F931" s="677"/>
      <c r="G931" s="677"/>
      <c r="H931" s="872"/>
      <c r="I931" s="871"/>
      <c r="J931" s="871"/>
      <c r="K931" s="870"/>
      <c r="L931" s="870"/>
      <c r="M931" s="870"/>
      <c r="N931" s="870"/>
      <c r="O931" s="870"/>
      <c r="P931" s="870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73"/>
      <c r="E932" s="677"/>
      <c r="F932" s="677"/>
      <c r="G932" s="677"/>
      <c r="H932" s="872"/>
      <c r="I932" s="871"/>
      <c r="J932" s="871"/>
      <c r="K932" s="870"/>
      <c r="L932" s="870"/>
      <c r="M932" s="870"/>
      <c r="N932" s="870"/>
      <c r="O932" s="870"/>
      <c r="P932" s="870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73"/>
      <c r="E933" s="677"/>
      <c r="F933" s="677"/>
      <c r="G933" s="677"/>
      <c r="H933" s="872"/>
      <c r="I933" s="871"/>
      <c r="J933" s="871"/>
      <c r="K933" s="870"/>
      <c r="L933" s="870"/>
      <c r="M933" s="870"/>
      <c r="N933" s="870"/>
      <c r="O933" s="870"/>
      <c r="P933" s="870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73"/>
      <c r="E934" s="677"/>
      <c r="F934" s="677"/>
      <c r="G934" s="677"/>
      <c r="H934" s="872"/>
      <c r="I934" s="871"/>
      <c r="J934" s="871"/>
      <c r="K934" s="870"/>
      <c r="L934" s="870"/>
      <c r="M934" s="870"/>
      <c r="N934" s="870"/>
      <c r="O934" s="870"/>
      <c r="P934" s="870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73"/>
      <c r="E935" s="677"/>
      <c r="F935" s="677"/>
      <c r="G935" s="677"/>
      <c r="H935" s="872"/>
      <c r="I935" s="871"/>
      <c r="J935" s="871"/>
      <c r="K935" s="870"/>
      <c r="L935" s="870"/>
      <c r="M935" s="870"/>
      <c r="N935" s="870"/>
      <c r="O935" s="870"/>
      <c r="P935" s="870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73"/>
      <c r="E936" s="677"/>
      <c r="F936" s="677"/>
      <c r="G936" s="677"/>
      <c r="H936" s="872"/>
      <c r="I936" s="871"/>
      <c r="J936" s="871"/>
      <c r="K936" s="870"/>
      <c r="L936" s="870"/>
      <c r="M936" s="870"/>
      <c r="N936" s="870"/>
      <c r="O936" s="870"/>
      <c r="P936" s="870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73"/>
      <c r="E937" s="677"/>
      <c r="F937" s="677"/>
      <c r="G937" s="677"/>
      <c r="H937" s="872"/>
      <c r="I937" s="871"/>
      <c r="J937" s="871"/>
      <c r="K937" s="870"/>
      <c r="L937" s="870"/>
      <c r="M937" s="870"/>
      <c r="N937" s="870"/>
      <c r="O937" s="870"/>
      <c r="P937" s="870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73"/>
      <c r="E938" s="677"/>
      <c r="F938" s="677"/>
      <c r="G938" s="677"/>
      <c r="H938" s="872"/>
      <c r="I938" s="871"/>
      <c r="J938" s="871"/>
      <c r="K938" s="870"/>
      <c r="L938" s="870"/>
      <c r="M938" s="870"/>
      <c r="N938" s="870"/>
      <c r="O938" s="870"/>
      <c r="P938" s="870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73"/>
      <c r="E939" s="677"/>
      <c r="F939" s="677"/>
      <c r="G939" s="677"/>
      <c r="H939" s="872"/>
      <c r="I939" s="871"/>
      <c r="J939" s="871"/>
      <c r="K939" s="870"/>
      <c r="L939" s="870"/>
      <c r="M939" s="870"/>
      <c r="N939" s="870"/>
      <c r="O939" s="870"/>
      <c r="P939" s="870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73"/>
      <c r="E940" s="677"/>
      <c r="F940" s="677"/>
      <c r="G940" s="677"/>
      <c r="H940" s="872"/>
      <c r="I940" s="871"/>
      <c r="J940" s="871"/>
      <c r="K940" s="870"/>
      <c r="L940" s="870"/>
      <c r="M940" s="870"/>
      <c r="N940" s="870"/>
      <c r="O940" s="870"/>
      <c r="P940" s="870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73"/>
      <c r="E941" s="677"/>
      <c r="F941" s="677"/>
      <c r="G941" s="677"/>
      <c r="H941" s="872"/>
      <c r="I941" s="871"/>
      <c r="J941" s="871"/>
      <c r="K941" s="870"/>
      <c r="L941" s="870"/>
      <c r="M941" s="870"/>
      <c r="N941" s="870"/>
      <c r="O941" s="870"/>
      <c r="P941" s="870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73"/>
      <c r="E942" s="677"/>
      <c r="F942" s="677"/>
      <c r="G942" s="677"/>
      <c r="H942" s="872"/>
      <c r="I942" s="871"/>
      <c r="J942" s="871"/>
      <c r="K942" s="870"/>
      <c r="L942" s="870"/>
      <c r="M942" s="870"/>
      <c r="N942" s="870"/>
      <c r="O942" s="870"/>
      <c r="P942" s="870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73"/>
      <c r="E943" s="677"/>
      <c r="F943" s="677"/>
      <c r="G943" s="677"/>
      <c r="H943" s="872"/>
      <c r="I943" s="871"/>
      <c r="J943" s="871"/>
      <c r="K943" s="870"/>
      <c r="L943" s="870"/>
      <c r="M943" s="870"/>
      <c r="N943" s="870"/>
      <c r="O943" s="870"/>
      <c r="P943" s="870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73"/>
      <c r="E944" s="677"/>
      <c r="F944" s="677"/>
      <c r="G944" s="677"/>
      <c r="H944" s="872"/>
      <c r="I944" s="871"/>
      <c r="J944" s="871"/>
      <c r="K944" s="870"/>
      <c r="L944" s="870"/>
      <c r="M944" s="870"/>
      <c r="N944" s="870"/>
      <c r="O944" s="870"/>
      <c r="P944" s="870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73"/>
      <c r="E945" s="677"/>
      <c r="F945" s="677"/>
      <c r="G945" s="677"/>
      <c r="H945" s="872"/>
      <c r="I945" s="871"/>
      <c r="J945" s="871"/>
      <c r="K945" s="870"/>
      <c r="L945" s="870"/>
      <c r="M945" s="870"/>
      <c r="N945" s="870"/>
      <c r="O945" s="870"/>
      <c r="P945" s="870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73"/>
      <c r="E946" s="677"/>
      <c r="F946" s="677"/>
      <c r="G946" s="677"/>
      <c r="H946" s="872"/>
      <c r="I946" s="871"/>
      <c r="J946" s="871"/>
      <c r="K946" s="870"/>
      <c r="L946" s="870"/>
      <c r="M946" s="870"/>
      <c r="N946" s="870"/>
      <c r="O946" s="870"/>
      <c r="P946" s="870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73"/>
      <c r="E947" s="677"/>
      <c r="F947" s="677"/>
      <c r="G947" s="677"/>
      <c r="H947" s="872"/>
      <c r="I947" s="871"/>
      <c r="J947" s="871"/>
      <c r="K947" s="870"/>
      <c r="L947" s="870"/>
      <c r="M947" s="870"/>
      <c r="N947" s="870"/>
      <c r="O947" s="870"/>
      <c r="P947" s="870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73"/>
      <c r="E948" s="677"/>
      <c r="F948" s="677"/>
      <c r="G948" s="677"/>
      <c r="H948" s="872"/>
      <c r="I948" s="871"/>
      <c r="J948" s="871"/>
      <c r="K948" s="870"/>
      <c r="L948" s="870"/>
      <c r="M948" s="870"/>
      <c r="N948" s="870"/>
      <c r="O948" s="870"/>
      <c r="P948" s="870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73"/>
      <c r="E949" s="677"/>
      <c r="F949" s="677"/>
      <c r="G949" s="677"/>
      <c r="H949" s="872"/>
      <c r="I949" s="871"/>
      <c r="J949" s="871"/>
      <c r="K949" s="870"/>
      <c r="L949" s="870"/>
      <c r="M949" s="870"/>
      <c r="N949" s="870"/>
      <c r="O949" s="870"/>
      <c r="P949" s="870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73"/>
      <c r="E950" s="677"/>
      <c r="F950" s="677"/>
      <c r="G950" s="677"/>
      <c r="H950" s="872"/>
      <c r="I950" s="871"/>
      <c r="J950" s="871"/>
      <c r="K950" s="870"/>
      <c r="L950" s="870"/>
      <c r="M950" s="870"/>
      <c r="N950" s="870"/>
      <c r="O950" s="870"/>
      <c r="P950" s="870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73"/>
      <c r="E951" s="677"/>
      <c r="F951" s="677"/>
      <c r="G951" s="677"/>
      <c r="H951" s="872"/>
      <c r="I951" s="871"/>
      <c r="J951" s="871"/>
      <c r="K951" s="870"/>
      <c r="L951" s="870"/>
      <c r="M951" s="870"/>
      <c r="N951" s="870"/>
      <c r="O951" s="870"/>
      <c r="P951" s="870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73"/>
      <c r="E952" s="677"/>
      <c r="F952" s="677"/>
      <c r="G952" s="677"/>
      <c r="H952" s="872"/>
      <c r="I952" s="871"/>
      <c r="J952" s="871"/>
      <c r="K952" s="870"/>
      <c r="L952" s="870"/>
      <c r="M952" s="870"/>
      <c r="N952" s="870"/>
      <c r="O952" s="870"/>
      <c r="P952" s="870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73"/>
      <c r="E953" s="677"/>
      <c r="F953" s="677"/>
      <c r="G953" s="677"/>
      <c r="H953" s="872"/>
      <c r="I953" s="871"/>
      <c r="J953" s="871"/>
      <c r="K953" s="870"/>
      <c r="L953" s="870"/>
      <c r="M953" s="870"/>
      <c r="N953" s="870"/>
      <c r="O953" s="870"/>
      <c r="P953" s="870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73"/>
      <c r="E954" s="677"/>
      <c r="F954" s="677"/>
      <c r="G954" s="677"/>
      <c r="H954" s="872"/>
      <c r="I954" s="871"/>
      <c r="J954" s="871"/>
      <c r="K954" s="870"/>
      <c r="L954" s="870"/>
      <c r="M954" s="870"/>
      <c r="N954" s="870"/>
      <c r="O954" s="870"/>
      <c r="P954" s="870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73"/>
      <c r="E955" s="677"/>
      <c r="F955" s="677"/>
      <c r="G955" s="677"/>
      <c r="H955" s="872"/>
      <c r="I955" s="871"/>
      <c r="J955" s="871"/>
      <c r="K955" s="870"/>
      <c r="L955" s="870"/>
      <c r="M955" s="870"/>
      <c r="N955" s="870"/>
      <c r="O955" s="870"/>
      <c r="P955" s="870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73"/>
      <c r="E956" s="677"/>
      <c r="F956" s="677"/>
      <c r="G956" s="677"/>
      <c r="H956" s="872"/>
      <c r="I956" s="871"/>
      <c r="J956" s="871"/>
      <c r="K956" s="870"/>
      <c r="L956" s="870"/>
      <c r="M956" s="870"/>
      <c r="N956" s="870"/>
      <c r="O956" s="870"/>
      <c r="P956" s="870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73"/>
      <c r="E957" s="677"/>
      <c r="F957" s="677"/>
      <c r="G957" s="677"/>
      <c r="H957" s="872"/>
      <c r="I957" s="871"/>
      <c r="J957" s="871"/>
      <c r="K957" s="870"/>
      <c r="L957" s="870"/>
      <c r="M957" s="870"/>
      <c r="N957" s="870"/>
      <c r="O957" s="870"/>
      <c r="P957" s="870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73"/>
      <c r="E958" s="677"/>
      <c r="F958" s="677"/>
      <c r="G958" s="677"/>
      <c r="H958" s="872"/>
      <c r="I958" s="871"/>
      <c r="J958" s="871"/>
      <c r="K958" s="870"/>
      <c r="L958" s="870"/>
      <c r="M958" s="870"/>
      <c r="N958" s="870"/>
      <c r="O958" s="870"/>
      <c r="P958" s="870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73"/>
      <c r="E959" s="677"/>
      <c r="F959" s="677"/>
      <c r="G959" s="677"/>
      <c r="H959" s="872"/>
      <c r="I959" s="871"/>
      <c r="J959" s="871"/>
      <c r="K959" s="870"/>
      <c r="L959" s="870"/>
      <c r="M959" s="870"/>
      <c r="N959" s="870"/>
      <c r="O959" s="870"/>
      <c r="P959" s="870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73"/>
      <c r="E960" s="677"/>
      <c r="F960" s="677"/>
      <c r="G960" s="677"/>
      <c r="H960" s="872"/>
      <c r="I960" s="871"/>
      <c r="J960" s="871"/>
      <c r="K960" s="870"/>
      <c r="L960" s="870"/>
      <c r="M960" s="870"/>
      <c r="N960" s="870"/>
      <c r="O960" s="870"/>
      <c r="P960" s="870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73"/>
      <c r="E961" s="677"/>
      <c r="F961" s="677"/>
      <c r="G961" s="677"/>
      <c r="H961" s="872"/>
      <c r="I961" s="871"/>
      <c r="J961" s="871"/>
      <c r="K961" s="870"/>
      <c r="L961" s="870"/>
      <c r="M961" s="870"/>
      <c r="N961" s="870"/>
      <c r="O961" s="870"/>
      <c r="P961" s="870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73"/>
      <c r="E962" s="677"/>
      <c r="F962" s="677"/>
      <c r="G962" s="677"/>
      <c r="H962" s="872"/>
      <c r="I962" s="871"/>
      <c r="J962" s="871"/>
      <c r="K962" s="870"/>
      <c r="L962" s="870"/>
      <c r="M962" s="870"/>
      <c r="N962" s="870"/>
      <c r="O962" s="870"/>
      <c r="P962" s="870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73"/>
      <c r="E963" s="677"/>
      <c r="F963" s="677"/>
      <c r="G963" s="677"/>
      <c r="H963" s="872"/>
      <c r="I963" s="871"/>
      <c r="J963" s="871"/>
      <c r="K963" s="870"/>
      <c r="L963" s="870"/>
      <c r="M963" s="870"/>
      <c r="N963" s="870"/>
      <c r="O963" s="870"/>
      <c r="P963" s="870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73"/>
      <c r="E964" s="677"/>
      <c r="F964" s="677"/>
      <c r="G964" s="677"/>
      <c r="H964" s="872"/>
      <c r="I964" s="871"/>
      <c r="J964" s="871"/>
      <c r="K964" s="870"/>
      <c r="L964" s="870"/>
      <c r="M964" s="870"/>
      <c r="N964" s="870"/>
      <c r="O964" s="870"/>
      <c r="P964" s="870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73"/>
      <c r="E965" s="677"/>
      <c r="F965" s="677"/>
      <c r="G965" s="677"/>
      <c r="H965" s="872"/>
      <c r="I965" s="871"/>
      <c r="J965" s="871"/>
      <c r="K965" s="870"/>
      <c r="L965" s="870"/>
      <c r="M965" s="870"/>
      <c r="N965" s="870"/>
      <c r="O965" s="870"/>
      <c r="P965" s="870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73"/>
      <c r="E966" s="677"/>
      <c r="F966" s="677"/>
      <c r="G966" s="677"/>
      <c r="H966" s="872"/>
      <c r="I966" s="871"/>
      <c r="J966" s="871"/>
      <c r="K966" s="870"/>
      <c r="L966" s="870"/>
      <c r="M966" s="870"/>
      <c r="N966" s="870"/>
      <c r="O966" s="870"/>
      <c r="P966" s="870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73"/>
      <c r="E967" s="677"/>
      <c r="F967" s="677"/>
      <c r="G967" s="677"/>
      <c r="H967" s="872"/>
      <c r="I967" s="871"/>
      <c r="J967" s="871"/>
      <c r="K967" s="870"/>
      <c r="L967" s="870"/>
      <c r="M967" s="870"/>
      <c r="N967" s="870"/>
      <c r="O967" s="870"/>
      <c r="P967" s="870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73"/>
      <c r="E968" s="677"/>
      <c r="F968" s="677"/>
      <c r="G968" s="677"/>
      <c r="H968" s="872"/>
      <c r="I968" s="871"/>
      <c r="J968" s="871"/>
      <c r="K968" s="870"/>
      <c r="L968" s="870"/>
      <c r="M968" s="870"/>
      <c r="N968" s="870"/>
      <c r="O968" s="870"/>
      <c r="P968" s="870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73"/>
      <c r="E969" s="677"/>
      <c r="F969" s="677"/>
      <c r="G969" s="677"/>
      <c r="H969" s="872"/>
      <c r="I969" s="871"/>
      <c r="J969" s="871"/>
      <c r="K969" s="870"/>
      <c r="L969" s="870"/>
      <c r="M969" s="870"/>
      <c r="N969" s="870"/>
      <c r="O969" s="870"/>
      <c r="P969" s="870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73"/>
      <c r="E970" s="677"/>
      <c r="F970" s="677"/>
      <c r="G970" s="677"/>
      <c r="H970" s="872"/>
      <c r="I970" s="871"/>
      <c r="J970" s="871"/>
      <c r="K970" s="870"/>
      <c r="L970" s="870"/>
      <c r="M970" s="870"/>
      <c r="N970" s="870"/>
      <c r="O970" s="870"/>
      <c r="P970" s="870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73"/>
      <c r="E971" s="677"/>
      <c r="F971" s="677"/>
      <c r="G971" s="677"/>
      <c r="H971" s="872"/>
      <c r="I971" s="871"/>
      <c r="J971" s="871"/>
      <c r="K971" s="870"/>
      <c r="L971" s="870"/>
      <c r="M971" s="870"/>
      <c r="N971" s="870"/>
      <c r="O971" s="870"/>
      <c r="P971" s="870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73"/>
      <c r="E972" s="677"/>
      <c r="F972" s="677"/>
      <c r="G972" s="677"/>
      <c r="H972" s="872"/>
      <c r="I972" s="871"/>
      <c r="J972" s="871"/>
      <c r="K972" s="870"/>
      <c r="L972" s="870"/>
      <c r="M972" s="870"/>
      <c r="N972" s="870"/>
      <c r="O972" s="870"/>
      <c r="P972" s="870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73"/>
      <c r="E973" s="677"/>
      <c r="F973" s="677"/>
      <c r="G973" s="677"/>
      <c r="H973" s="872"/>
      <c r="I973" s="871"/>
      <c r="J973" s="871"/>
      <c r="K973" s="870"/>
      <c r="L973" s="870"/>
      <c r="M973" s="870"/>
      <c r="N973" s="870"/>
      <c r="O973" s="870"/>
      <c r="P973" s="870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73"/>
      <c r="E974" s="677"/>
      <c r="F974" s="677"/>
      <c r="G974" s="677"/>
      <c r="H974" s="872"/>
      <c r="I974" s="871"/>
      <c r="J974" s="871"/>
      <c r="K974" s="870"/>
      <c r="L974" s="870"/>
      <c r="M974" s="870"/>
      <c r="N974" s="870"/>
      <c r="O974" s="870"/>
      <c r="P974" s="870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73"/>
      <c r="E975" s="677"/>
      <c r="F975" s="677"/>
      <c r="G975" s="677"/>
      <c r="H975" s="872"/>
      <c r="I975" s="871"/>
      <c r="J975" s="871"/>
      <c r="K975" s="870"/>
      <c r="L975" s="870"/>
      <c r="M975" s="870"/>
      <c r="N975" s="870"/>
      <c r="O975" s="870"/>
      <c r="P975" s="870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73"/>
      <c r="E976" s="677"/>
      <c r="F976" s="677"/>
      <c r="G976" s="677"/>
      <c r="H976" s="872"/>
      <c r="I976" s="871"/>
      <c r="J976" s="871"/>
      <c r="K976" s="870"/>
      <c r="L976" s="870"/>
      <c r="M976" s="870"/>
      <c r="N976" s="870"/>
      <c r="O976" s="870"/>
      <c r="P976" s="870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73"/>
      <c r="E977" s="677"/>
      <c r="F977" s="677"/>
      <c r="G977" s="677"/>
      <c r="H977" s="872"/>
      <c r="I977" s="871"/>
      <c r="J977" s="871"/>
      <c r="K977" s="870"/>
      <c r="L977" s="870"/>
      <c r="M977" s="870"/>
      <c r="N977" s="870"/>
      <c r="O977" s="870"/>
      <c r="P977" s="870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73"/>
      <c r="E978" s="677"/>
      <c r="F978" s="677"/>
      <c r="G978" s="677"/>
      <c r="H978" s="872"/>
      <c r="I978" s="871"/>
      <c r="J978" s="871"/>
      <c r="K978" s="870"/>
      <c r="L978" s="870"/>
      <c r="M978" s="870"/>
      <c r="N978" s="870"/>
      <c r="O978" s="870"/>
      <c r="P978" s="870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73"/>
      <c r="E979" s="677"/>
      <c r="F979" s="677"/>
      <c r="G979" s="677"/>
      <c r="H979" s="872"/>
      <c r="I979" s="871"/>
      <c r="J979" s="871"/>
      <c r="K979" s="870"/>
      <c r="L979" s="870"/>
      <c r="M979" s="870"/>
      <c r="N979" s="870"/>
      <c r="O979" s="870"/>
      <c r="P979" s="870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73"/>
      <c r="E980" s="677"/>
      <c r="F980" s="677"/>
      <c r="G980" s="677"/>
      <c r="H980" s="872"/>
      <c r="I980" s="871"/>
      <c r="J980" s="871"/>
      <c r="K980" s="870"/>
      <c r="L980" s="870"/>
      <c r="M980" s="870"/>
      <c r="N980" s="870"/>
      <c r="O980" s="870"/>
      <c r="P980" s="870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73"/>
      <c r="E981" s="677"/>
      <c r="F981" s="677"/>
      <c r="G981" s="677"/>
      <c r="H981" s="872"/>
      <c r="I981" s="871"/>
      <c r="J981" s="871"/>
      <c r="K981" s="870"/>
      <c r="L981" s="870"/>
      <c r="M981" s="870"/>
      <c r="N981" s="870"/>
      <c r="O981" s="870"/>
      <c r="P981" s="870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73"/>
      <c r="E982" s="677"/>
      <c r="F982" s="677"/>
      <c r="G982" s="677"/>
      <c r="H982" s="872"/>
      <c r="I982" s="871"/>
      <c r="J982" s="871"/>
      <c r="K982" s="870"/>
      <c r="L982" s="870"/>
      <c r="M982" s="870"/>
      <c r="N982" s="870"/>
      <c r="O982" s="870"/>
      <c r="P982" s="870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73"/>
      <c r="E983" s="677"/>
      <c r="F983" s="677"/>
      <c r="G983" s="677"/>
      <c r="H983" s="872"/>
      <c r="I983" s="871"/>
      <c r="J983" s="871"/>
      <c r="K983" s="870"/>
      <c r="L983" s="870"/>
      <c r="M983" s="870"/>
      <c r="N983" s="870"/>
      <c r="O983" s="870"/>
      <c r="P983" s="870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73"/>
      <c r="E984" s="677"/>
      <c r="F984" s="677"/>
      <c r="G984" s="677"/>
      <c r="H984" s="872"/>
      <c r="I984" s="871"/>
      <c r="J984" s="871"/>
      <c r="K984" s="870"/>
      <c r="L984" s="870"/>
      <c r="M984" s="870"/>
      <c r="N984" s="870"/>
      <c r="O984" s="870"/>
      <c r="P984" s="870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73"/>
      <c r="E985" s="677"/>
      <c r="F985" s="677"/>
      <c r="G985" s="677"/>
      <c r="H985" s="872"/>
      <c r="I985" s="871"/>
      <c r="J985" s="871"/>
      <c r="K985" s="870"/>
      <c r="L985" s="870"/>
      <c r="M985" s="870"/>
      <c r="N985" s="870"/>
      <c r="O985" s="870"/>
      <c r="P985" s="870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73"/>
      <c r="E986" s="677"/>
      <c r="F986" s="677"/>
      <c r="G986" s="677"/>
      <c r="H986" s="872"/>
      <c r="I986" s="871"/>
      <c r="J986" s="871"/>
      <c r="K986" s="870"/>
      <c r="L986" s="870"/>
      <c r="M986" s="870"/>
      <c r="N986" s="870"/>
      <c r="O986" s="870"/>
      <c r="P986" s="870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73"/>
      <c r="E987" s="677"/>
      <c r="F987" s="677"/>
      <c r="G987" s="677"/>
      <c r="H987" s="872"/>
      <c r="I987" s="871"/>
      <c r="J987" s="871"/>
      <c r="K987" s="870"/>
      <c r="L987" s="870"/>
      <c r="M987" s="870"/>
      <c r="N987" s="870"/>
      <c r="O987" s="870"/>
      <c r="P987" s="870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73"/>
      <c r="E988" s="677"/>
      <c r="F988" s="677"/>
      <c r="G988" s="677"/>
      <c r="H988" s="872"/>
      <c r="I988" s="871"/>
      <c r="J988" s="871"/>
      <c r="K988" s="870"/>
      <c r="L988" s="870"/>
      <c r="M988" s="870"/>
      <c r="N988" s="870"/>
      <c r="O988" s="870"/>
      <c r="P988" s="870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73"/>
      <c r="E989" s="677"/>
      <c r="F989" s="677"/>
      <c r="G989" s="677"/>
      <c r="H989" s="872"/>
      <c r="I989" s="871"/>
      <c r="J989" s="871"/>
      <c r="K989" s="870"/>
      <c r="L989" s="870"/>
      <c r="M989" s="870"/>
      <c r="N989" s="870"/>
      <c r="O989" s="870"/>
      <c r="P989" s="870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73"/>
      <c r="E990" s="677"/>
      <c r="F990" s="677"/>
      <c r="G990" s="677"/>
      <c r="H990" s="872"/>
      <c r="I990" s="871"/>
      <c r="J990" s="871"/>
      <c r="K990" s="870"/>
      <c r="L990" s="870"/>
      <c r="M990" s="870"/>
      <c r="N990" s="870"/>
      <c r="O990" s="870"/>
      <c r="P990" s="870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73"/>
      <c r="E991" s="677"/>
      <c r="F991" s="677"/>
      <c r="G991" s="677"/>
      <c r="H991" s="872"/>
      <c r="I991" s="871"/>
      <c r="J991" s="871"/>
      <c r="K991" s="870"/>
      <c r="L991" s="870"/>
      <c r="M991" s="870"/>
      <c r="N991" s="870"/>
      <c r="O991" s="870"/>
      <c r="P991" s="870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73"/>
      <c r="E992" s="677"/>
      <c r="F992" s="677"/>
      <c r="G992" s="677"/>
      <c r="H992" s="872"/>
      <c r="I992" s="871"/>
      <c r="J992" s="871"/>
      <c r="K992" s="870"/>
      <c r="L992" s="870"/>
      <c r="M992" s="870"/>
      <c r="N992" s="870"/>
      <c r="O992" s="870"/>
      <c r="P992" s="870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73"/>
      <c r="E993" s="677"/>
      <c r="F993" s="677"/>
      <c r="G993" s="677"/>
      <c r="H993" s="872"/>
      <c r="I993" s="871"/>
      <c r="J993" s="871"/>
      <c r="K993" s="870"/>
      <c r="L993" s="870"/>
      <c r="M993" s="870"/>
      <c r="N993" s="870"/>
      <c r="O993" s="870"/>
      <c r="P993" s="870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73"/>
      <c r="E994" s="677"/>
      <c r="F994" s="677"/>
      <c r="G994" s="677"/>
      <c r="H994" s="872"/>
      <c r="I994" s="871"/>
      <c r="J994" s="871"/>
      <c r="K994" s="870"/>
      <c r="L994" s="870"/>
      <c r="M994" s="870"/>
      <c r="N994" s="870"/>
      <c r="O994" s="870"/>
      <c r="P994" s="870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73"/>
      <c r="E995" s="677"/>
      <c r="F995" s="677"/>
      <c r="G995" s="677"/>
      <c r="H995" s="872"/>
      <c r="I995" s="871"/>
      <c r="J995" s="871"/>
      <c r="K995" s="870"/>
      <c r="L995" s="870"/>
      <c r="M995" s="870"/>
      <c r="N995" s="870"/>
      <c r="O995" s="870"/>
      <c r="P995" s="870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73"/>
      <c r="E996" s="677"/>
      <c r="F996" s="677"/>
      <c r="G996" s="677"/>
      <c r="H996" s="872"/>
      <c r="I996" s="871"/>
      <c r="J996" s="871"/>
      <c r="K996" s="870"/>
      <c r="L996" s="870"/>
      <c r="M996" s="870"/>
      <c r="N996" s="870"/>
      <c r="O996" s="870"/>
      <c r="P996" s="870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73"/>
      <c r="E997" s="677"/>
      <c r="F997" s="677"/>
      <c r="G997" s="677"/>
      <c r="H997" s="872"/>
      <c r="I997" s="871"/>
      <c r="J997" s="871"/>
      <c r="K997" s="870"/>
      <c r="L997" s="870"/>
      <c r="M997" s="870"/>
      <c r="N997" s="870"/>
      <c r="O997" s="870"/>
      <c r="P997" s="870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73"/>
      <c r="E998" s="677"/>
      <c r="F998" s="677"/>
      <c r="G998" s="677"/>
      <c r="H998" s="872"/>
      <c r="I998" s="871"/>
      <c r="J998" s="871"/>
      <c r="K998" s="870"/>
      <c r="L998" s="870"/>
      <c r="M998" s="870"/>
      <c r="N998" s="870"/>
      <c r="O998" s="870"/>
      <c r="P998" s="870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73"/>
      <c r="E999" s="677"/>
      <c r="F999" s="677"/>
      <c r="G999" s="677"/>
      <c r="H999" s="872"/>
      <c r="I999" s="871"/>
      <c r="J999" s="871"/>
      <c r="K999" s="870"/>
      <c r="L999" s="870"/>
      <c r="M999" s="870"/>
      <c r="N999" s="870"/>
      <c r="O999" s="870"/>
      <c r="P999" s="870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73"/>
      <c r="E1000" s="677"/>
      <c r="F1000" s="677"/>
      <c r="G1000" s="677"/>
      <c r="H1000" s="872"/>
      <c r="I1000" s="871"/>
      <c r="J1000" s="871"/>
      <c r="K1000" s="870"/>
      <c r="L1000" s="870"/>
      <c r="M1000" s="870"/>
      <c r="N1000" s="870"/>
      <c r="O1000" s="870"/>
      <c r="P1000" s="870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73"/>
      <c r="E1001" s="677"/>
      <c r="F1001" s="677"/>
      <c r="G1001" s="677"/>
      <c r="H1001" s="872"/>
      <c r="I1001" s="871"/>
      <c r="J1001" s="871"/>
      <c r="K1001" s="870"/>
      <c r="L1001" s="870"/>
      <c r="M1001" s="870"/>
      <c r="N1001" s="870"/>
      <c r="O1001" s="870"/>
      <c r="P1001" s="870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73"/>
      <c r="E1002" s="677"/>
      <c r="F1002" s="677"/>
      <c r="G1002" s="677"/>
      <c r="H1002" s="872"/>
      <c r="I1002" s="871"/>
      <c r="J1002" s="871"/>
      <c r="K1002" s="870"/>
      <c r="L1002" s="870"/>
      <c r="M1002" s="870"/>
      <c r="N1002" s="870"/>
      <c r="O1002" s="870"/>
      <c r="P1002" s="870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73"/>
      <c r="E1003" s="677"/>
      <c r="F1003" s="677"/>
      <c r="G1003" s="677"/>
      <c r="H1003" s="872"/>
      <c r="I1003" s="871"/>
      <c r="J1003" s="871"/>
      <c r="K1003" s="870"/>
      <c r="L1003" s="870"/>
      <c r="M1003" s="870"/>
      <c r="N1003" s="870"/>
      <c r="O1003" s="870"/>
      <c r="P1003" s="870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73"/>
      <c r="E1004" s="677"/>
      <c r="F1004" s="677"/>
      <c r="G1004" s="677"/>
      <c r="H1004" s="872"/>
      <c r="I1004" s="871"/>
      <c r="J1004" s="871"/>
      <c r="K1004" s="870"/>
      <c r="L1004" s="870"/>
      <c r="M1004" s="870"/>
      <c r="N1004" s="870"/>
      <c r="O1004" s="870"/>
      <c r="P1004" s="870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73"/>
      <c r="E1005" s="677"/>
      <c r="F1005" s="677"/>
      <c r="G1005" s="677"/>
      <c r="H1005" s="872"/>
      <c r="I1005" s="871"/>
      <c r="J1005" s="871"/>
      <c r="K1005" s="870"/>
      <c r="L1005" s="870"/>
      <c r="M1005" s="870"/>
      <c r="N1005" s="870"/>
      <c r="O1005" s="870"/>
      <c r="P1005" s="870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73"/>
      <c r="E1006" s="677"/>
      <c r="F1006" s="677"/>
      <c r="G1006" s="677"/>
      <c r="H1006" s="872"/>
      <c r="I1006" s="871"/>
      <c r="J1006" s="871"/>
      <c r="K1006" s="870"/>
      <c r="L1006" s="870"/>
      <c r="M1006" s="870"/>
      <c r="N1006" s="870"/>
      <c r="O1006" s="870"/>
      <c r="P1006" s="870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73"/>
      <c r="E1007" s="677"/>
      <c r="F1007" s="677"/>
      <c r="G1007" s="677"/>
      <c r="H1007" s="872"/>
      <c r="I1007" s="871"/>
      <c r="J1007" s="871"/>
      <c r="K1007" s="870"/>
      <c r="L1007" s="870"/>
      <c r="M1007" s="870"/>
      <c r="N1007" s="870"/>
      <c r="O1007" s="870"/>
      <c r="P1007" s="870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73"/>
      <c r="E1008" s="677"/>
      <c r="F1008" s="677"/>
      <c r="G1008" s="677"/>
      <c r="H1008" s="872"/>
      <c r="I1008" s="871"/>
      <c r="J1008" s="871"/>
      <c r="K1008" s="870"/>
      <c r="L1008" s="870"/>
      <c r="M1008" s="870"/>
      <c r="N1008" s="870"/>
      <c r="O1008" s="870"/>
      <c r="P1008" s="870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73"/>
      <c r="E1009" s="677"/>
      <c r="F1009" s="677"/>
      <c r="G1009" s="677"/>
      <c r="H1009" s="872"/>
      <c r="I1009" s="871"/>
      <c r="J1009" s="871"/>
      <c r="K1009" s="870"/>
      <c r="L1009" s="870"/>
      <c r="M1009" s="870"/>
      <c r="N1009" s="870"/>
      <c r="O1009" s="870"/>
      <c r="P1009" s="870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73"/>
      <c r="E1010" s="677"/>
      <c r="F1010" s="677"/>
      <c r="G1010" s="677"/>
      <c r="H1010" s="872"/>
      <c r="I1010" s="871"/>
      <c r="J1010" s="871"/>
      <c r="K1010" s="870"/>
      <c r="L1010" s="870"/>
      <c r="M1010" s="870"/>
      <c r="N1010" s="870"/>
      <c r="O1010" s="870"/>
      <c r="P1010" s="870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73"/>
      <c r="E1011" s="677"/>
      <c r="F1011" s="677"/>
      <c r="G1011" s="677"/>
      <c r="H1011" s="872"/>
      <c r="I1011" s="871"/>
      <c r="J1011" s="871"/>
      <c r="K1011" s="870"/>
      <c r="L1011" s="870"/>
      <c r="M1011" s="870"/>
      <c r="N1011" s="870"/>
      <c r="O1011" s="870"/>
      <c r="P1011" s="870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73"/>
      <c r="E1012" s="677"/>
      <c r="F1012" s="677"/>
      <c r="G1012" s="677"/>
      <c r="H1012" s="872"/>
      <c r="I1012" s="871"/>
      <c r="J1012" s="871"/>
      <c r="K1012" s="870"/>
      <c r="L1012" s="870"/>
      <c r="M1012" s="870"/>
      <c r="N1012" s="870"/>
      <c r="O1012" s="870"/>
      <c r="P1012" s="870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73"/>
      <c r="E1013" s="677"/>
      <c r="F1013" s="677"/>
      <c r="G1013" s="677"/>
      <c r="H1013" s="872"/>
      <c r="I1013" s="871"/>
      <c r="J1013" s="871"/>
      <c r="K1013" s="870"/>
      <c r="L1013" s="870"/>
      <c r="M1013" s="870"/>
      <c r="N1013" s="870"/>
      <c r="O1013" s="870"/>
      <c r="P1013" s="870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73"/>
      <c r="E1014" s="677"/>
      <c r="F1014" s="677"/>
      <c r="G1014" s="677"/>
      <c r="H1014" s="872"/>
      <c r="I1014" s="871"/>
      <c r="J1014" s="871"/>
      <c r="K1014" s="870"/>
      <c r="L1014" s="870"/>
      <c r="M1014" s="870"/>
      <c r="N1014" s="870"/>
      <c r="O1014" s="870"/>
      <c r="P1014" s="870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73"/>
      <c r="E1015" s="677"/>
      <c r="F1015" s="677"/>
      <c r="G1015" s="677"/>
      <c r="H1015" s="872"/>
      <c r="I1015" s="871"/>
      <c r="J1015" s="871"/>
      <c r="K1015" s="870"/>
      <c r="L1015" s="870"/>
      <c r="M1015" s="870"/>
      <c r="N1015" s="870"/>
      <c r="O1015" s="870"/>
      <c r="P1015" s="870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73"/>
      <c r="E1016" s="677"/>
      <c r="F1016" s="677"/>
      <c r="G1016" s="677"/>
      <c r="H1016" s="872"/>
      <c r="I1016" s="871"/>
      <c r="J1016" s="871"/>
      <c r="K1016" s="870"/>
      <c r="L1016" s="870"/>
      <c r="M1016" s="870"/>
      <c r="N1016" s="870"/>
      <c r="O1016" s="870"/>
      <c r="P1016" s="870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73"/>
      <c r="E1017" s="677"/>
      <c r="F1017" s="677"/>
      <c r="G1017" s="677"/>
      <c r="H1017" s="872"/>
      <c r="I1017" s="871"/>
      <c r="J1017" s="871"/>
      <c r="K1017" s="870"/>
      <c r="L1017" s="870"/>
      <c r="M1017" s="870"/>
      <c r="N1017" s="870"/>
      <c r="O1017" s="870"/>
      <c r="P1017" s="870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73"/>
      <c r="E1018" s="677"/>
      <c r="F1018" s="677"/>
      <c r="G1018" s="677"/>
      <c r="H1018" s="872"/>
      <c r="I1018" s="871"/>
      <c r="J1018" s="871"/>
      <c r="K1018" s="870"/>
      <c r="L1018" s="870"/>
      <c r="M1018" s="870"/>
      <c r="N1018" s="870"/>
      <c r="O1018" s="870"/>
      <c r="P1018" s="870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73"/>
      <c r="E1019" s="677"/>
      <c r="F1019" s="677"/>
      <c r="G1019" s="677"/>
      <c r="H1019" s="872"/>
      <c r="I1019" s="871"/>
      <c r="J1019" s="871"/>
      <c r="K1019" s="870"/>
      <c r="L1019" s="870"/>
      <c r="M1019" s="870"/>
      <c r="N1019" s="870"/>
      <c r="O1019" s="870"/>
      <c r="P1019" s="870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73"/>
      <c r="E1020" s="677"/>
      <c r="F1020" s="677"/>
      <c r="G1020" s="677"/>
      <c r="H1020" s="872"/>
      <c r="I1020" s="871"/>
      <c r="J1020" s="871"/>
      <c r="K1020" s="870"/>
      <c r="L1020" s="870"/>
      <c r="M1020" s="870"/>
      <c r="N1020" s="870"/>
      <c r="O1020" s="870"/>
      <c r="P1020" s="870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73"/>
      <c r="E1021" s="677"/>
      <c r="F1021" s="677"/>
      <c r="G1021" s="677"/>
      <c r="H1021" s="872"/>
      <c r="I1021" s="871"/>
      <c r="J1021" s="871"/>
      <c r="K1021" s="870"/>
      <c r="L1021" s="870"/>
      <c r="M1021" s="870"/>
      <c r="N1021" s="870"/>
      <c r="O1021" s="870"/>
      <c r="P1021" s="870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73"/>
      <c r="E1022" s="677"/>
      <c r="F1022" s="677"/>
      <c r="G1022" s="677"/>
      <c r="H1022" s="872"/>
      <c r="I1022" s="871"/>
      <c r="J1022" s="871"/>
      <c r="K1022" s="870"/>
      <c r="L1022" s="870"/>
      <c r="M1022" s="870"/>
      <c r="N1022" s="870"/>
      <c r="O1022" s="870"/>
      <c r="P1022" s="870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73"/>
      <c r="E1023" s="677"/>
      <c r="F1023" s="677"/>
      <c r="G1023" s="677"/>
      <c r="H1023" s="872"/>
      <c r="I1023" s="871"/>
      <c r="J1023" s="871"/>
      <c r="K1023" s="870"/>
      <c r="L1023" s="870"/>
      <c r="M1023" s="870"/>
      <c r="N1023" s="870"/>
      <c r="O1023" s="870"/>
      <c r="P1023" s="870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73"/>
      <c r="E1024" s="677"/>
      <c r="F1024" s="677"/>
      <c r="G1024" s="677"/>
      <c r="H1024" s="872"/>
      <c r="I1024" s="871"/>
      <c r="J1024" s="871"/>
      <c r="K1024" s="870"/>
      <c r="L1024" s="870"/>
      <c r="M1024" s="870"/>
      <c r="N1024" s="870"/>
      <c r="O1024" s="870"/>
      <c r="P1024" s="870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73"/>
      <c r="E1025" s="677"/>
      <c r="F1025" s="677"/>
      <c r="G1025" s="677"/>
      <c r="H1025" s="872"/>
      <c r="I1025" s="871"/>
      <c r="J1025" s="871"/>
      <c r="K1025" s="870"/>
      <c r="L1025" s="870"/>
      <c r="M1025" s="870"/>
      <c r="N1025" s="870"/>
      <c r="O1025" s="870"/>
      <c r="P1025" s="870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73"/>
      <c r="E1026" s="677"/>
      <c r="F1026" s="677"/>
      <c r="G1026" s="677"/>
      <c r="H1026" s="872"/>
      <c r="I1026" s="871"/>
      <c r="J1026" s="871"/>
      <c r="K1026" s="870"/>
      <c r="L1026" s="870"/>
      <c r="M1026" s="870"/>
      <c r="N1026" s="870"/>
      <c r="O1026" s="870"/>
      <c r="P1026" s="870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73"/>
      <c r="E1027" s="677"/>
      <c r="F1027" s="677"/>
      <c r="G1027" s="677"/>
      <c r="H1027" s="872"/>
      <c r="I1027" s="871"/>
      <c r="J1027" s="871"/>
      <c r="K1027" s="870"/>
      <c r="L1027" s="870"/>
      <c r="M1027" s="870"/>
      <c r="N1027" s="870"/>
      <c r="O1027" s="870"/>
      <c r="P1027" s="870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73"/>
      <c r="E1028" s="677"/>
      <c r="F1028" s="677"/>
      <c r="G1028" s="677"/>
      <c r="H1028" s="872"/>
      <c r="I1028" s="871"/>
      <c r="J1028" s="871"/>
      <c r="K1028" s="870"/>
      <c r="L1028" s="870"/>
      <c r="M1028" s="870"/>
      <c r="N1028" s="870"/>
      <c r="O1028" s="870"/>
      <c r="P1028" s="870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73"/>
      <c r="E1029" s="677"/>
      <c r="F1029" s="677"/>
      <c r="G1029" s="677"/>
      <c r="H1029" s="872"/>
      <c r="I1029" s="871"/>
      <c r="J1029" s="871"/>
      <c r="K1029" s="870"/>
      <c r="L1029" s="870"/>
      <c r="M1029" s="870"/>
      <c r="N1029" s="870"/>
      <c r="O1029" s="870"/>
      <c r="P1029" s="870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73"/>
      <c r="E1030" s="677"/>
      <c r="F1030" s="677"/>
      <c r="G1030" s="677"/>
      <c r="H1030" s="872"/>
      <c r="I1030" s="871"/>
      <c r="J1030" s="871"/>
      <c r="K1030" s="870"/>
      <c r="L1030" s="870"/>
      <c r="M1030" s="870"/>
      <c r="N1030" s="870"/>
      <c r="O1030" s="870"/>
      <c r="P1030" s="870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73"/>
      <c r="E1031" s="677"/>
      <c r="F1031" s="677"/>
      <c r="G1031" s="677"/>
      <c r="H1031" s="872"/>
      <c r="I1031" s="871"/>
      <c r="J1031" s="871"/>
      <c r="K1031" s="870"/>
      <c r="L1031" s="870"/>
      <c r="M1031" s="870"/>
      <c r="N1031" s="870"/>
      <c r="O1031" s="870"/>
      <c r="P1031" s="870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73"/>
      <c r="E1032" s="677"/>
      <c r="F1032" s="677"/>
      <c r="G1032" s="677"/>
      <c r="H1032" s="872"/>
      <c r="I1032" s="871"/>
      <c r="J1032" s="871"/>
      <c r="K1032" s="870"/>
      <c r="L1032" s="870"/>
      <c r="M1032" s="870"/>
      <c r="N1032" s="870"/>
      <c r="O1032" s="870"/>
      <c r="P1032" s="870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73"/>
      <c r="E1033" s="677"/>
      <c r="F1033" s="677"/>
      <c r="G1033" s="677"/>
      <c r="H1033" s="872"/>
      <c r="I1033" s="871"/>
      <c r="J1033" s="871"/>
      <c r="K1033" s="870"/>
      <c r="L1033" s="870"/>
      <c r="M1033" s="870"/>
      <c r="N1033" s="870"/>
      <c r="O1033" s="870"/>
      <c r="P1033" s="870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73"/>
      <c r="E1034" s="677"/>
      <c r="F1034" s="677"/>
      <c r="G1034" s="677"/>
      <c r="H1034" s="872"/>
      <c r="I1034" s="871"/>
      <c r="J1034" s="871"/>
      <c r="K1034" s="870"/>
      <c r="L1034" s="870"/>
      <c r="M1034" s="870"/>
      <c r="N1034" s="870"/>
      <c r="O1034" s="870"/>
      <c r="P1034" s="870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73"/>
      <c r="E1035" s="677"/>
      <c r="F1035" s="677"/>
      <c r="G1035" s="677"/>
      <c r="H1035" s="872"/>
      <c r="I1035" s="871"/>
      <c r="J1035" s="871"/>
      <c r="K1035" s="870"/>
      <c r="L1035" s="870"/>
      <c r="M1035" s="870"/>
      <c r="N1035" s="870"/>
      <c r="O1035" s="870"/>
      <c r="P1035" s="870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73"/>
      <c r="E1036" s="677"/>
      <c r="F1036" s="677"/>
      <c r="G1036" s="677"/>
      <c r="H1036" s="872"/>
      <c r="I1036" s="871"/>
      <c r="J1036" s="871"/>
      <c r="K1036" s="870"/>
      <c r="L1036" s="870"/>
      <c r="M1036" s="870"/>
      <c r="N1036" s="870"/>
      <c r="O1036" s="870"/>
      <c r="P1036" s="870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73"/>
      <c r="E1037" s="677"/>
      <c r="F1037" s="677"/>
      <c r="G1037" s="677"/>
      <c r="H1037" s="872"/>
      <c r="I1037" s="871"/>
      <c r="J1037" s="871"/>
      <c r="K1037" s="870"/>
      <c r="L1037" s="870"/>
      <c r="M1037" s="870"/>
      <c r="N1037" s="870"/>
      <c r="O1037" s="870"/>
      <c r="P1037" s="870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73"/>
      <c r="E1038" s="677"/>
      <c r="F1038" s="677"/>
      <c r="G1038" s="677"/>
      <c r="H1038" s="872"/>
      <c r="I1038" s="871"/>
      <c r="J1038" s="871"/>
      <c r="K1038" s="870"/>
      <c r="L1038" s="870"/>
      <c r="M1038" s="870"/>
      <c r="N1038" s="870"/>
      <c r="O1038" s="870"/>
      <c r="P1038" s="870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73"/>
      <c r="E1039" s="677"/>
      <c r="F1039" s="677"/>
      <c r="G1039" s="677"/>
      <c r="H1039" s="872"/>
      <c r="I1039" s="871"/>
      <c r="J1039" s="871"/>
      <c r="K1039" s="870"/>
      <c r="L1039" s="870"/>
      <c r="M1039" s="870"/>
      <c r="N1039" s="870"/>
      <c r="O1039" s="870"/>
      <c r="P1039" s="870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73"/>
      <c r="E1040" s="677"/>
      <c r="F1040" s="677"/>
      <c r="G1040" s="677"/>
      <c r="H1040" s="872"/>
      <c r="I1040" s="871"/>
      <c r="J1040" s="871"/>
      <c r="K1040" s="870"/>
      <c r="L1040" s="870"/>
      <c r="M1040" s="870"/>
      <c r="N1040" s="870"/>
      <c r="O1040" s="870"/>
      <c r="P1040" s="870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73"/>
      <c r="E1041" s="677"/>
      <c r="F1041" s="677"/>
      <c r="G1041" s="677"/>
      <c r="H1041" s="872"/>
      <c r="I1041" s="871"/>
      <c r="J1041" s="871"/>
      <c r="K1041" s="870"/>
      <c r="L1041" s="870"/>
      <c r="M1041" s="870"/>
      <c r="N1041" s="870"/>
      <c r="O1041" s="870"/>
      <c r="P1041" s="870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73"/>
      <c r="E1042" s="677"/>
      <c r="F1042" s="677"/>
      <c r="G1042" s="677"/>
      <c r="H1042" s="872"/>
      <c r="I1042" s="871"/>
      <c r="J1042" s="871"/>
      <c r="K1042" s="870"/>
      <c r="L1042" s="870"/>
      <c r="M1042" s="870"/>
      <c r="N1042" s="870"/>
      <c r="O1042" s="870"/>
      <c r="P1042" s="870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73"/>
      <c r="E1043" s="677"/>
      <c r="F1043" s="677"/>
      <c r="G1043" s="677"/>
      <c r="H1043" s="872"/>
      <c r="I1043" s="871"/>
      <c r="J1043" s="871"/>
      <c r="K1043" s="870"/>
      <c r="L1043" s="870"/>
      <c r="M1043" s="870"/>
      <c r="N1043" s="870"/>
      <c r="O1043" s="870"/>
      <c r="P1043" s="870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73"/>
      <c r="E1044" s="677"/>
      <c r="F1044" s="677"/>
      <c r="G1044" s="677"/>
      <c r="H1044" s="872"/>
      <c r="I1044" s="871"/>
      <c r="J1044" s="871"/>
      <c r="K1044" s="870"/>
      <c r="L1044" s="870"/>
      <c r="M1044" s="870"/>
      <c r="N1044" s="870"/>
      <c r="O1044" s="870"/>
      <c r="P1044" s="870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73"/>
      <c r="E1045" s="677"/>
      <c r="F1045" s="677"/>
      <c r="G1045" s="677"/>
      <c r="H1045" s="872"/>
      <c r="I1045" s="871"/>
      <c r="J1045" s="871"/>
      <c r="K1045" s="870"/>
      <c r="L1045" s="870"/>
      <c r="M1045" s="870"/>
      <c r="N1045" s="870"/>
      <c r="O1045" s="870"/>
      <c r="P1045" s="870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73"/>
      <c r="E1046" s="677"/>
      <c r="F1046" s="677"/>
      <c r="G1046" s="677"/>
      <c r="H1046" s="872"/>
      <c r="I1046" s="871"/>
      <c r="J1046" s="871"/>
      <c r="K1046" s="870"/>
      <c r="L1046" s="870"/>
      <c r="M1046" s="870"/>
      <c r="N1046" s="870"/>
      <c r="O1046" s="870"/>
      <c r="P1046" s="870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73"/>
      <c r="E1047" s="677"/>
      <c r="F1047" s="677"/>
      <c r="G1047" s="677"/>
      <c r="H1047" s="872"/>
      <c r="I1047" s="871"/>
      <c r="J1047" s="871"/>
      <c r="K1047" s="870"/>
      <c r="L1047" s="870"/>
      <c r="M1047" s="870"/>
      <c r="N1047" s="870"/>
      <c r="O1047" s="870"/>
      <c r="P1047" s="870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73"/>
      <c r="E1048" s="677"/>
      <c r="F1048" s="677"/>
      <c r="G1048" s="677"/>
      <c r="H1048" s="872"/>
      <c r="I1048" s="871"/>
      <c r="J1048" s="871"/>
      <c r="K1048" s="870"/>
      <c r="L1048" s="870"/>
      <c r="M1048" s="870"/>
      <c r="N1048" s="870"/>
      <c r="O1048" s="870"/>
      <c r="P1048" s="870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73"/>
      <c r="E1049" s="677"/>
      <c r="F1049" s="677"/>
      <c r="G1049" s="677"/>
      <c r="H1049" s="872"/>
      <c r="I1049" s="871"/>
      <c r="J1049" s="871"/>
      <c r="K1049" s="870"/>
      <c r="L1049" s="870"/>
      <c r="M1049" s="870"/>
      <c r="N1049" s="870"/>
      <c r="O1049" s="870"/>
      <c r="P1049" s="870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73"/>
      <c r="E1050" s="677"/>
      <c r="F1050" s="677"/>
      <c r="G1050" s="677"/>
      <c r="H1050" s="872"/>
      <c r="I1050" s="871"/>
      <c r="J1050" s="871"/>
      <c r="K1050" s="870"/>
      <c r="L1050" s="870"/>
      <c r="M1050" s="870"/>
      <c r="N1050" s="870"/>
      <c r="O1050" s="870"/>
      <c r="P1050" s="870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73"/>
      <c r="E1051" s="677"/>
      <c r="F1051" s="677"/>
      <c r="G1051" s="677"/>
      <c r="H1051" s="872"/>
      <c r="I1051" s="871"/>
      <c r="J1051" s="871"/>
      <c r="K1051" s="870"/>
      <c r="L1051" s="870"/>
      <c r="M1051" s="870"/>
      <c r="N1051" s="870"/>
      <c r="O1051" s="870"/>
      <c r="P1051" s="870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73"/>
      <c r="E1052" s="677"/>
      <c r="F1052" s="677"/>
      <c r="G1052" s="677"/>
      <c r="H1052" s="872"/>
      <c r="I1052" s="871"/>
      <c r="J1052" s="871"/>
      <c r="K1052" s="870"/>
      <c r="L1052" s="870"/>
      <c r="M1052" s="870"/>
      <c r="N1052" s="870"/>
      <c r="O1052" s="870"/>
      <c r="P1052" s="870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73"/>
      <c r="E1053" s="677"/>
      <c r="F1053" s="677"/>
      <c r="G1053" s="677"/>
      <c r="H1053" s="872"/>
      <c r="I1053" s="871"/>
      <c r="J1053" s="871"/>
      <c r="K1053" s="870"/>
      <c r="L1053" s="870"/>
      <c r="M1053" s="870"/>
      <c r="N1053" s="870"/>
      <c r="O1053" s="870"/>
      <c r="P1053" s="870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73"/>
      <c r="E1054" s="677"/>
      <c r="F1054" s="677"/>
      <c r="G1054" s="677"/>
      <c r="H1054" s="872"/>
      <c r="I1054" s="871"/>
      <c r="J1054" s="871"/>
      <c r="K1054" s="870"/>
      <c r="L1054" s="870"/>
      <c r="M1054" s="870"/>
      <c r="N1054" s="870"/>
      <c r="O1054" s="870"/>
      <c r="P1054" s="870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73"/>
      <c r="E1055" s="677"/>
      <c r="F1055" s="677"/>
      <c r="G1055" s="677"/>
      <c r="H1055" s="872"/>
      <c r="I1055" s="871"/>
      <c r="J1055" s="871"/>
      <c r="K1055" s="870"/>
      <c r="L1055" s="870"/>
      <c r="M1055" s="870"/>
      <c r="N1055" s="870"/>
      <c r="O1055" s="870"/>
      <c r="P1055" s="870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73"/>
      <c r="E1056" s="677"/>
      <c r="F1056" s="677"/>
      <c r="G1056" s="677"/>
      <c r="H1056" s="872"/>
      <c r="I1056" s="871"/>
      <c r="J1056" s="871"/>
      <c r="K1056" s="870"/>
      <c r="L1056" s="870"/>
      <c r="M1056" s="870"/>
      <c r="N1056" s="870"/>
      <c r="O1056" s="870"/>
      <c r="P1056" s="870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73"/>
      <c r="E1057" s="677"/>
      <c r="F1057" s="677"/>
      <c r="G1057" s="677"/>
      <c r="H1057" s="872"/>
      <c r="I1057" s="871"/>
      <c r="J1057" s="871"/>
      <c r="K1057" s="870"/>
      <c r="L1057" s="870"/>
      <c r="M1057" s="870"/>
      <c r="N1057" s="870"/>
      <c r="O1057" s="870"/>
      <c r="P1057" s="870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73"/>
      <c r="E1058" s="677"/>
      <c r="F1058" s="677"/>
      <c r="G1058" s="677"/>
      <c r="H1058" s="872"/>
      <c r="I1058" s="871"/>
      <c r="J1058" s="871"/>
      <c r="K1058" s="870"/>
      <c r="L1058" s="870"/>
      <c r="M1058" s="870"/>
      <c r="N1058" s="870"/>
      <c r="O1058" s="870"/>
      <c r="P1058" s="870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73"/>
      <c r="E1059" s="677"/>
      <c r="F1059" s="677"/>
      <c r="G1059" s="677"/>
      <c r="H1059" s="872"/>
      <c r="I1059" s="871"/>
      <c r="J1059" s="871"/>
      <c r="K1059" s="870"/>
      <c r="L1059" s="870"/>
      <c r="M1059" s="870"/>
      <c r="N1059" s="870"/>
      <c r="O1059" s="870"/>
      <c r="P1059" s="870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73"/>
      <c r="E1060" s="677"/>
      <c r="F1060" s="677"/>
      <c r="G1060" s="677"/>
      <c r="H1060" s="872"/>
      <c r="I1060" s="871"/>
      <c r="J1060" s="871"/>
      <c r="K1060" s="870"/>
      <c r="L1060" s="870"/>
      <c r="M1060" s="870"/>
      <c r="N1060" s="870"/>
      <c r="O1060" s="870"/>
      <c r="P1060" s="870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73"/>
      <c r="E1061" s="677"/>
      <c r="F1061" s="677"/>
      <c r="G1061" s="677"/>
      <c r="H1061" s="872"/>
      <c r="I1061" s="871"/>
      <c r="J1061" s="871"/>
      <c r="K1061" s="870"/>
      <c r="L1061" s="870"/>
      <c r="M1061" s="870"/>
      <c r="N1061" s="870"/>
      <c r="O1061" s="870"/>
      <c r="P1061" s="870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73"/>
      <c r="E1062" s="677"/>
      <c r="F1062" s="677"/>
      <c r="G1062" s="677"/>
      <c r="H1062" s="872"/>
      <c r="I1062" s="871"/>
      <c r="J1062" s="871"/>
      <c r="K1062" s="870"/>
      <c r="L1062" s="870"/>
      <c r="M1062" s="870"/>
      <c r="N1062" s="870"/>
      <c r="O1062" s="870"/>
      <c r="P1062" s="870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73"/>
      <c r="E1063" s="677"/>
      <c r="F1063" s="677"/>
      <c r="G1063" s="677"/>
      <c r="H1063" s="872"/>
      <c r="I1063" s="871"/>
      <c r="J1063" s="871"/>
      <c r="K1063" s="870"/>
      <c r="L1063" s="870"/>
      <c r="M1063" s="870"/>
      <c r="N1063" s="870"/>
      <c r="O1063" s="870"/>
      <c r="P1063" s="870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73"/>
      <c r="E1064" s="677"/>
      <c r="F1064" s="677"/>
      <c r="G1064" s="677"/>
      <c r="H1064" s="872"/>
      <c r="I1064" s="871"/>
      <c r="J1064" s="871"/>
      <c r="K1064" s="870"/>
      <c r="L1064" s="870"/>
      <c r="M1064" s="870"/>
      <c r="N1064" s="870"/>
      <c r="O1064" s="870"/>
      <c r="P1064" s="870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73"/>
      <c r="E1065" s="677"/>
      <c r="F1065" s="677"/>
      <c r="G1065" s="677"/>
      <c r="H1065" s="872"/>
      <c r="I1065" s="871"/>
      <c r="J1065" s="871"/>
      <c r="K1065" s="870"/>
      <c r="L1065" s="870"/>
      <c r="M1065" s="870"/>
      <c r="N1065" s="870"/>
      <c r="O1065" s="870"/>
      <c r="P1065" s="870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73"/>
      <c r="E1066" s="677"/>
      <c r="F1066" s="677"/>
      <c r="G1066" s="677"/>
      <c r="H1066" s="872"/>
      <c r="I1066" s="871"/>
      <c r="J1066" s="871"/>
      <c r="K1066" s="870"/>
      <c r="L1066" s="870"/>
      <c r="M1066" s="870"/>
      <c r="N1066" s="870"/>
      <c r="O1066" s="870"/>
      <c r="P1066" s="870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73"/>
      <c r="E1067" s="677"/>
      <c r="F1067" s="677"/>
      <c r="G1067" s="677"/>
      <c r="H1067" s="872"/>
      <c r="I1067" s="871"/>
      <c r="J1067" s="871"/>
      <c r="K1067" s="870"/>
      <c r="L1067" s="870"/>
      <c r="M1067" s="870"/>
      <c r="N1067" s="870"/>
      <c r="O1067" s="870"/>
      <c r="P1067" s="870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73"/>
      <c r="E1068" s="677"/>
      <c r="F1068" s="677"/>
      <c r="G1068" s="677"/>
      <c r="H1068" s="872"/>
      <c r="I1068" s="871"/>
      <c r="J1068" s="871"/>
      <c r="K1068" s="870"/>
      <c r="L1068" s="870"/>
      <c r="M1068" s="870"/>
      <c r="N1068" s="870"/>
      <c r="O1068" s="870"/>
      <c r="P1068" s="870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73"/>
      <c r="E1069" s="677"/>
      <c r="F1069" s="677"/>
      <c r="G1069" s="677"/>
      <c r="H1069" s="872"/>
      <c r="I1069" s="871"/>
      <c r="J1069" s="871"/>
      <c r="K1069" s="870"/>
      <c r="L1069" s="870"/>
      <c r="M1069" s="870"/>
      <c r="N1069" s="870"/>
      <c r="O1069" s="870"/>
      <c r="P1069" s="870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73"/>
      <c r="E1070" s="677"/>
      <c r="F1070" s="677"/>
      <c r="G1070" s="677"/>
      <c r="H1070" s="872"/>
      <c r="I1070" s="871"/>
      <c r="J1070" s="871"/>
      <c r="K1070" s="870"/>
      <c r="L1070" s="870"/>
      <c r="M1070" s="870"/>
      <c r="N1070" s="870"/>
      <c r="O1070" s="870"/>
      <c r="P1070" s="870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73"/>
      <c r="E1071" s="677"/>
      <c r="F1071" s="677"/>
      <c r="G1071" s="677"/>
      <c r="H1071" s="872"/>
      <c r="I1071" s="871"/>
      <c r="J1071" s="871"/>
      <c r="K1071" s="870"/>
      <c r="L1071" s="870"/>
      <c r="M1071" s="870"/>
      <c r="N1071" s="870"/>
      <c r="O1071" s="870"/>
      <c r="P1071" s="870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73"/>
      <c r="E1072" s="677"/>
      <c r="F1072" s="677"/>
      <c r="G1072" s="677"/>
      <c r="H1072" s="872"/>
      <c r="I1072" s="871"/>
      <c r="J1072" s="871"/>
      <c r="K1072" s="870"/>
      <c r="L1072" s="870"/>
      <c r="M1072" s="870"/>
      <c r="N1072" s="870"/>
      <c r="O1072" s="870"/>
      <c r="P1072" s="870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73"/>
      <c r="E1073" s="677"/>
      <c r="F1073" s="677"/>
      <c r="G1073" s="677"/>
      <c r="H1073" s="872"/>
      <c r="I1073" s="871"/>
      <c r="J1073" s="871"/>
      <c r="K1073" s="870"/>
      <c r="L1073" s="870"/>
      <c r="M1073" s="870"/>
      <c r="N1073" s="870"/>
      <c r="O1073" s="870"/>
      <c r="P1073" s="870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73"/>
      <c r="E1074" s="677"/>
      <c r="F1074" s="677"/>
      <c r="G1074" s="677"/>
      <c r="H1074" s="872"/>
      <c r="I1074" s="871"/>
      <c r="J1074" s="871"/>
      <c r="K1074" s="870"/>
      <c r="L1074" s="870"/>
      <c r="M1074" s="870"/>
      <c r="N1074" s="870"/>
      <c r="O1074" s="870"/>
      <c r="P1074" s="870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73"/>
      <c r="E1075" s="677"/>
      <c r="F1075" s="677"/>
      <c r="G1075" s="677"/>
      <c r="H1075" s="872"/>
      <c r="I1075" s="871"/>
      <c r="J1075" s="871"/>
      <c r="K1075" s="870"/>
      <c r="L1075" s="870"/>
      <c r="M1075" s="870"/>
      <c r="N1075" s="870"/>
      <c r="O1075" s="870"/>
      <c r="P1075" s="870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73"/>
      <c r="E1076" s="677"/>
      <c r="F1076" s="677"/>
      <c r="G1076" s="677"/>
      <c r="H1076" s="872"/>
      <c r="I1076" s="871"/>
      <c r="J1076" s="871"/>
      <c r="K1076" s="870"/>
      <c r="L1076" s="870"/>
      <c r="M1076" s="870"/>
      <c r="N1076" s="870"/>
      <c r="O1076" s="870"/>
      <c r="P1076" s="870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73"/>
      <c r="E1077" s="677"/>
      <c r="F1077" s="677"/>
      <c r="G1077" s="677"/>
      <c r="H1077" s="872"/>
      <c r="I1077" s="871"/>
      <c r="J1077" s="871"/>
      <c r="K1077" s="870"/>
      <c r="L1077" s="870"/>
      <c r="M1077" s="870"/>
      <c r="N1077" s="870"/>
      <c r="O1077" s="870"/>
      <c r="P1077" s="870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73"/>
      <c r="E1078" s="677"/>
      <c r="F1078" s="677"/>
      <c r="G1078" s="677"/>
      <c r="H1078" s="872"/>
      <c r="I1078" s="871"/>
      <c r="J1078" s="871"/>
      <c r="K1078" s="870"/>
      <c r="L1078" s="870"/>
      <c r="M1078" s="870"/>
      <c r="N1078" s="870"/>
      <c r="O1078" s="870"/>
      <c r="P1078" s="870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73"/>
      <c r="E1079" s="677"/>
      <c r="F1079" s="677"/>
      <c r="G1079" s="677"/>
      <c r="H1079" s="872"/>
      <c r="I1079" s="871"/>
      <c r="J1079" s="871"/>
      <c r="K1079" s="870"/>
      <c r="L1079" s="870"/>
      <c r="M1079" s="870"/>
      <c r="N1079" s="870"/>
      <c r="O1079" s="870"/>
      <c r="P1079" s="870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73"/>
      <c r="E1080" s="677"/>
      <c r="F1080" s="677"/>
      <c r="G1080" s="677"/>
      <c r="H1080" s="872"/>
      <c r="I1080" s="871"/>
      <c r="J1080" s="871"/>
      <c r="K1080" s="870"/>
      <c r="L1080" s="870"/>
      <c r="M1080" s="870"/>
      <c r="N1080" s="870"/>
      <c r="O1080" s="870"/>
      <c r="P1080" s="870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73"/>
      <c r="E1081" s="677"/>
      <c r="F1081" s="677"/>
      <c r="G1081" s="677"/>
      <c r="H1081" s="872"/>
      <c r="I1081" s="871"/>
      <c r="J1081" s="871"/>
      <c r="K1081" s="870"/>
      <c r="L1081" s="870"/>
      <c r="M1081" s="870"/>
      <c r="N1081" s="870"/>
      <c r="O1081" s="870"/>
      <c r="P1081" s="870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73"/>
      <c r="E1082" s="677"/>
      <c r="F1082" s="677"/>
      <c r="G1082" s="677"/>
      <c r="H1082" s="872"/>
      <c r="I1082" s="871"/>
      <c r="J1082" s="871"/>
      <c r="K1082" s="870"/>
      <c r="L1082" s="870"/>
      <c r="M1082" s="870"/>
      <c r="N1082" s="870"/>
      <c r="O1082" s="870"/>
      <c r="P1082" s="870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73"/>
      <c r="E1083" s="677"/>
      <c r="F1083" s="677"/>
      <c r="G1083" s="677"/>
      <c r="H1083" s="872"/>
      <c r="I1083" s="871"/>
      <c r="J1083" s="871"/>
      <c r="K1083" s="870"/>
      <c r="L1083" s="870"/>
      <c r="M1083" s="870"/>
      <c r="N1083" s="870"/>
      <c r="O1083" s="870"/>
      <c r="P1083" s="870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73"/>
      <c r="E1084" s="677"/>
      <c r="F1084" s="677"/>
      <c r="G1084" s="677"/>
      <c r="H1084" s="872"/>
      <c r="I1084" s="871"/>
      <c r="J1084" s="871"/>
      <c r="K1084" s="870"/>
      <c r="L1084" s="870"/>
      <c r="M1084" s="870"/>
      <c r="N1084" s="870"/>
      <c r="O1084" s="870"/>
      <c r="P1084" s="870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73"/>
      <c r="E1085" s="677"/>
      <c r="F1085" s="677"/>
      <c r="G1085" s="677"/>
      <c r="H1085" s="872"/>
      <c r="I1085" s="871"/>
      <c r="J1085" s="871"/>
      <c r="K1085" s="870"/>
      <c r="L1085" s="870"/>
      <c r="M1085" s="870"/>
      <c r="N1085" s="870"/>
      <c r="O1085" s="870"/>
      <c r="P1085" s="870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73"/>
      <c r="E1086" s="677"/>
      <c r="F1086" s="677"/>
      <c r="G1086" s="677"/>
      <c r="H1086" s="872"/>
      <c r="I1086" s="871"/>
      <c r="J1086" s="871"/>
      <c r="K1086" s="870"/>
      <c r="L1086" s="870"/>
      <c r="M1086" s="870"/>
      <c r="N1086" s="870"/>
      <c r="O1086" s="870"/>
      <c r="P1086" s="870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73"/>
      <c r="E1087" s="677"/>
      <c r="F1087" s="677"/>
      <c r="G1087" s="677"/>
      <c r="H1087" s="872"/>
      <c r="I1087" s="871"/>
      <c r="J1087" s="871"/>
      <c r="K1087" s="870"/>
      <c r="L1087" s="870"/>
      <c r="M1087" s="870"/>
      <c r="N1087" s="870"/>
      <c r="O1087" s="870"/>
      <c r="P1087" s="870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73"/>
      <c r="E1088" s="677"/>
      <c r="F1088" s="677"/>
      <c r="G1088" s="677"/>
      <c r="H1088" s="872"/>
      <c r="I1088" s="871"/>
      <c r="J1088" s="871"/>
      <c r="K1088" s="870"/>
      <c r="L1088" s="870"/>
      <c r="M1088" s="870"/>
      <c r="N1088" s="870"/>
      <c r="O1088" s="870"/>
      <c r="P1088" s="870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73"/>
      <c r="E1089" s="677"/>
      <c r="F1089" s="677"/>
      <c r="G1089" s="677"/>
      <c r="H1089" s="872"/>
      <c r="I1089" s="871"/>
      <c r="J1089" s="871"/>
      <c r="K1089" s="870"/>
      <c r="L1089" s="870"/>
      <c r="M1089" s="870"/>
      <c r="N1089" s="870"/>
      <c r="O1089" s="870"/>
      <c r="P1089" s="870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73"/>
      <c r="E1090" s="677"/>
      <c r="F1090" s="677"/>
      <c r="G1090" s="677"/>
      <c r="H1090" s="872"/>
      <c r="I1090" s="871"/>
      <c r="J1090" s="871"/>
      <c r="K1090" s="870"/>
      <c r="L1090" s="870"/>
      <c r="M1090" s="870"/>
      <c r="N1090" s="870"/>
      <c r="O1090" s="870"/>
      <c r="P1090" s="870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73"/>
      <c r="E1091" s="677"/>
      <c r="F1091" s="677"/>
      <c r="G1091" s="677"/>
      <c r="H1091" s="872"/>
      <c r="I1091" s="871"/>
      <c r="J1091" s="871"/>
      <c r="K1091" s="870"/>
      <c r="L1091" s="870"/>
      <c r="M1091" s="870"/>
      <c r="N1091" s="870"/>
      <c r="O1091" s="870"/>
      <c r="P1091" s="870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73"/>
      <c r="E1092" s="677"/>
      <c r="F1092" s="677"/>
      <c r="G1092" s="677"/>
      <c r="H1092" s="872"/>
      <c r="I1092" s="871"/>
      <c r="J1092" s="871"/>
      <c r="K1092" s="870"/>
      <c r="L1092" s="870"/>
      <c r="M1092" s="870"/>
      <c r="N1092" s="870"/>
      <c r="O1092" s="870"/>
      <c r="P1092" s="870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73"/>
      <c r="E1093" s="677"/>
      <c r="F1093" s="677"/>
      <c r="G1093" s="677"/>
      <c r="H1093" s="872"/>
      <c r="I1093" s="871"/>
      <c r="J1093" s="871"/>
      <c r="K1093" s="870"/>
      <c r="L1093" s="870"/>
      <c r="M1093" s="870"/>
      <c r="N1093" s="870"/>
      <c r="O1093" s="870"/>
      <c r="P1093" s="870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73"/>
      <c r="E1094" s="677"/>
      <c r="F1094" s="677"/>
      <c r="G1094" s="677"/>
      <c r="H1094" s="872"/>
      <c r="I1094" s="871"/>
      <c r="J1094" s="871"/>
      <c r="K1094" s="870"/>
      <c r="L1094" s="870"/>
      <c r="M1094" s="870"/>
      <c r="N1094" s="870"/>
      <c r="O1094" s="870"/>
      <c r="P1094" s="870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73"/>
      <c r="E1095" s="677"/>
      <c r="F1095" s="677"/>
      <c r="G1095" s="677"/>
      <c r="H1095" s="872"/>
      <c r="I1095" s="871"/>
      <c r="J1095" s="871"/>
      <c r="K1095" s="870"/>
      <c r="L1095" s="870"/>
      <c r="M1095" s="870"/>
      <c r="N1095" s="870"/>
      <c r="O1095" s="870"/>
      <c r="P1095" s="870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73"/>
      <c r="E1096" s="677"/>
      <c r="F1096" s="677"/>
      <c r="G1096" s="677"/>
      <c r="H1096" s="872"/>
      <c r="I1096" s="871"/>
      <c r="J1096" s="871"/>
      <c r="K1096" s="870"/>
      <c r="L1096" s="870"/>
      <c r="M1096" s="870"/>
      <c r="N1096" s="870"/>
      <c r="O1096" s="870"/>
      <c r="P1096" s="870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73"/>
      <c r="E1097" s="677"/>
      <c r="F1097" s="677"/>
      <c r="G1097" s="677"/>
      <c r="H1097" s="872"/>
      <c r="I1097" s="871"/>
      <c r="J1097" s="871"/>
      <c r="K1097" s="870"/>
      <c r="L1097" s="870"/>
      <c r="M1097" s="870"/>
      <c r="N1097" s="870"/>
      <c r="O1097" s="870"/>
      <c r="P1097" s="870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73"/>
      <c r="E1098" s="677"/>
      <c r="F1098" s="677"/>
      <c r="G1098" s="677"/>
      <c r="H1098" s="872"/>
      <c r="I1098" s="871"/>
      <c r="J1098" s="871"/>
      <c r="K1098" s="870"/>
      <c r="L1098" s="870"/>
      <c r="M1098" s="870"/>
      <c r="N1098" s="870"/>
      <c r="O1098" s="870"/>
      <c r="P1098" s="870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73"/>
      <c r="E1099" s="677"/>
      <c r="F1099" s="677"/>
      <c r="G1099" s="677"/>
      <c r="H1099" s="872"/>
      <c r="I1099" s="871"/>
      <c r="J1099" s="871"/>
      <c r="K1099" s="870"/>
      <c r="L1099" s="870"/>
      <c r="M1099" s="870"/>
      <c r="N1099" s="870"/>
      <c r="O1099" s="870"/>
      <c r="P1099" s="870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73"/>
      <c r="E1100" s="677"/>
      <c r="F1100" s="677"/>
      <c r="G1100" s="677"/>
      <c r="H1100" s="872"/>
      <c r="I1100" s="871"/>
      <c r="J1100" s="871"/>
      <c r="K1100" s="870"/>
      <c r="L1100" s="870"/>
      <c r="M1100" s="870"/>
      <c r="N1100" s="870"/>
      <c r="O1100" s="870"/>
      <c r="P1100" s="870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73"/>
      <c r="E1101" s="677"/>
      <c r="F1101" s="677"/>
      <c r="G1101" s="677"/>
      <c r="H1101" s="872"/>
      <c r="I1101" s="871"/>
      <c r="J1101" s="871"/>
      <c r="K1101" s="870"/>
      <c r="L1101" s="870"/>
      <c r="M1101" s="870"/>
      <c r="N1101" s="870"/>
      <c r="O1101" s="870"/>
      <c r="P1101" s="870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73"/>
      <c r="E1102" s="677"/>
      <c r="F1102" s="677"/>
      <c r="G1102" s="677"/>
      <c r="H1102" s="872"/>
      <c r="I1102" s="871"/>
      <c r="J1102" s="871"/>
      <c r="K1102" s="870"/>
      <c r="L1102" s="870"/>
      <c r="M1102" s="870"/>
      <c r="N1102" s="870"/>
      <c r="O1102" s="870"/>
      <c r="P1102" s="870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73"/>
      <c r="E1103" s="677"/>
      <c r="F1103" s="677"/>
      <c r="G1103" s="677"/>
      <c r="H1103" s="872"/>
      <c r="I1103" s="871"/>
      <c r="J1103" s="871"/>
      <c r="K1103" s="870"/>
      <c r="L1103" s="870"/>
      <c r="M1103" s="870"/>
      <c r="N1103" s="870"/>
      <c r="O1103" s="870"/>
      <c r="P1103" s="870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73"/>
      <c r="E1104" s="677"/>
      <c r="F1104" s="677"/>
      <c r="G1104" s="677"/>
      <c r="H1104" s="872"/>
      <c r="I1104" s="871"/>
      <c r="J1104" s="871"/>
      <c r="K1104" s="870"/>
      <c r="L1104" s="870"/>
      <c r="M1104" s="870"/>
      <c r="N1104" s="870"/>
      <c r="O1104" s="870"/>
      <c r="P1104" s="870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73"/>
      <c r="E1105" s="677"/>
      <c r="F1105" s="677"/>
      <c r="G1105" s="677"/>
      <c r="H1105" s="872"/>
      <c r="I1105" s="871"/>
      <c r="J1105" s="871"/>
      <c r="K1105" s="870"/>
      <c r="L1105" s="870"/>
      <c r="M1105" s="870"/>
      <c r="N1105" s="870"/>
      <c r="O1105" s="870"/>
      <c r="P1105" s="870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73"/>
      <c r="E1106" s="677"/>
      <c r="F1106" s="677"/>
      <c r="G1106" s="677"/>
      <c r="H1106" s="872"/>
      <c r="I1106" s="871"/>
      <c r="J1106" s="871"/>
      <c r="K1106" s="870"/>
      <c r="L1106" s="870"/>
      <c r="M1106" s="870"/>
      <c r="N1106" s="870"/>
      <c r="O1106" s="870"/>
      <c r="P1106" s="870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73"/>
      <c r="E1107" s="677"/>
      <c r="F1107" s="677"/>
      <c r="G1107" s="677"/>
      <c r="H1107" s="872"/>
      <c r="I1107" s="871"/>
      <c r="J1107" s="871"/>
      <c r="K1107" s="870"/>
      <c r="L1107" s="870"/>
      <c r="M1107" s="870"/>
      <c r="N1107" s="870"/>
      <c r="O1107" s="870"/>
      <c r="P1107" s="870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73"/>
      <c r="E1108" s="677"/>
      <c r="F1108" s="677"/>
      <c r="G1108" s="677"/>
      <c r="H1108" s="872"/>
      <c r="I1108" s="871"/>
      <c r="J1108" s="871"/>
      <c r="K1108" s="870"/>
      <c r="L1108" s="870"/>
      <c r="M1108" s="870"/>
      <c r="N1108" s="870"/>
      <c r="O1108" s="870"/>
      <c r="P1108" s="870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73"/>
      <c r="E1109" s="677"/>
      <c r="F1109" s="677"/>
      <c r="G1109" s="677"/>
      <c r="H1109" s="872"/>
      <c r="I1109" s="871"/>
      <c r="J1109" s="871"/>
      <c r="K1109" s="870"/>
      <c r="L1109" s="870"/>
      <c r="M1109" s="870"/>
      <c r="N1109" s="870"/>
      <c r="O1109" s="870"/>
      <c r="P1109" s="870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73"/>
      <c r="E1110" s="677"/>
      <c r="F1110" s="677"/>
      <c r="G1110" s="677"/>
      <c r="H1110" s="872"/>
      <c r="I1110" s="871"/>
      <c r="J1110" s="871"/>
      <c r="K1110" s="870"/>
      <c r="L1110" s="870"/>
      <c r="M1110" s="870"/>
      <c r="N1110" s="870"/>
      <c r="O1110" s="870"/>
      <c r="P1110" s="870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73"/>
      <c r="E1111" s="677"/>
      <c r="F1111" s="677"/>
      <c r="G1111" s="677"/>
      <c r="H1111" s="872"/>
      <c r="I1111" s="871"/>
      <c r="J1111" s="871"/>
      <c r="K1111" s="870"/>
      <c r="L1111" s="870"/>
      <c r="M1111" s="870"/>
      <c r="N1111" s="870"/>
      <c r="O1111" s="870"/>
      <c r="P1111" s="870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73"/>
      <c r="E1112" s="677"/>
      <c r="F1112" s="677"/>
      <c r="G1112" s="677"/>
      <c r="H1112" s="872"/>
      <c r="I1112" s="871"/>
      <c r="J1112" s="871"/>
      <c r="K1112" s="870"/>
      <c r="L1112" s="870"/>
      <c r="M1112" s="870"/>
      <c r="N1112" s="870"/>
      <c r="O1112" s="870"/>
      <c r="P1112" s="870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73"/>
      <c r="E1113" s="677"/>
      <c r="F1113" s="677"/>
      <c r="G1113" s="677"/>
      <c r="H1113" s="872"/>
      <c r="I1113" s="871"/>
      <c r="J1113" s="871"/>
      <c r="K1113" s="870"/>
      <c r="L1113" s="870"/>
      <c r="M1113" s="870"/>
      <c r="N1113" s="870"/>
      <c r="O1113" s="870"/>
      <c r="P1113" s="870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73"/>
      <c r="E1114" s="677"/>
      <c r="F1114" s="677"/>
      <c r="G1114" s="677"/>
      <c r="H1114" s="872"/>
      <c r="I1114" s="871"/>
      <c r="J1114" s="871"/>
      <c r="K1114" s="870"/>
      <c r="L1114" s="870"/>
      <c r="M1114" s="870"/>
      <c r="N1114" s="870"/>
      <c r="O1114" s="870"/>
      <c r="P1114" s="870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73"/>
      <c r="E1115" s="677"/>
      <c r="F1115" s="677"/>
      <c r="G1115" s="677"/>
      <c r="H1115" s="872"/>
      <c r="I1115" s="871"/>
      <c r="J1115" s="871"/>
      <c r="K1115" s="870"/>
      <c r="L1115" s="870"/>
      <c r="M1115" s="870"/>
      <c r="N1115" s="870"/>
      <c r="O1115" s="870"/>
      <c r="P1115" s="870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73"/>
      <c r="E1116" s="677"/>
      <c r="F1116" s="677"/>
      <c r="G1116" s="677"/>
      <c r="H1116" s="872"/>
      <c r="I1116" s="871"/>
      <c r="J1116" s="871"/>
      <c r="K1116" s="870"/>
      <c r="L1116" s="870"/>
      <c r="M1116" s="870"/>
      <c r="N1116" s="870"/>
      <c r="O1116" s="870"/>
      <c r="P1116" s="870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73"/>
      <c r="E1117" s="677"/>
      <c r="F1117" s="677"/>
      <c r="G1117" s="677"/>
      <c r="H1117" s="872"/>
      <c r="I1117" s="871"/>
      <c r="J1117" s="871"/>
      <c r="K1117" s="870"/>
      <c r="L1117" s="870"/>
      <c r="M1117" s="870"/>
      <c r="N1117" s="870"/>
      <c r="O1117" s="870"/>
      <c r="P1117" s="870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73"/>
      <c r="E1118" s="677"/>
      <c r="F1118" s="677"/>
      <c r="G1118" s="677"/>
      <c r="H1118" s="872"/>
      <c r="I1118" s="871"/>
      <c r="J1118" s="871"/>
      <c r="K1118" s="870"/>
      <c r="L1118" s="870"/>
      <c r="M1118" s="870"/>
      <c r="N1118" s="870"/>
      <c r="O1118" s="870"/>
      <c r="P1118" s="870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73"/>
      <c r="E1119" s="677"/>
      <c r="F1119" s="677"/>
      <c r="G1119" s="677"/>
      <c r="H1119" s="872"/>
      <c r="I1119" s="871"/>
      <c r="J1119" s="871"/>
      <c r="K1119" s="870"/>
      <c r="L1119" s="870"/>
      <c r="M1119" s="870"/>
      <c r="N1119" s="870"/>
      <c r="O1119" s="870"/>
      <c r="P1119" s="870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73"/>
      <c r="E1120" s="677"/>
      <c r="F1120" s="677"/>
      <c r="G1120" s="677"/>
      <c r="H1120" s="872"/>
      <c r="I1120" s="871"/>
      <c r="J1120" s="871"/>
      <c r="K1120" s="870"/>
      <c r="L1120" s="870"/>
      <c r="M1120" s="870"/>
      <c r="N1120" s="870"/>
      <c r="O1120" s="870"/>
      <c r="P1120" s="870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73"/>
      <c r="E1121" s="677"/>
      <c r="F1121" s="677"/>
      <c r="G1121" s="677"/>
      <c r="H1121" s="872"/>
      <c r="I1121" s="871"/>
      <c r="J1121" s="871"/>
      <c r="K1121" s="870"/>
      <c r="L1121" s="870"/>
      <c r="M1121" s="870"/>
      <c r="N1121" s="870"/>
      <c r="O1121" s="870"/>
      <c r="P1121" s="870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73"/>
      <c r="E1122" s="677"/>
      <c r="F1122" s="677"/>
      <c r="G1122" s="677"/>
      <c r="H1122" s="872"/>
      <c r="I1122" s="871"/>
      <c r="J1122" s="871"/>
      <c r="K1122" s="870"/>
      <c r="L1122" s="870"/>
      <c r="M1122" s="870"/>
      <c r="N1122" s="870"/>
      <c r="O1122" s="870"/>
      <c r="P1122" s="870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73"/>
      <c r="E1123" s="677"/>
      <c r="F1123" s="677"/>
      <c r="G1123" s="677"/>
      <c r="H1123" s="872"/>
      <c r="I1123" s="871"/>
      <c r="J1123" s="871"/>
      <c r="K1123" s="870"/>
      <c r="L1123" s="870"/>
      <c r="M1123" s="870"/>
      <c r="N1123" s="870"/>
      <c r="O1123" s="870"/>
      <c r="P1123" s="870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73"/>
      <c r="E1124" s="677"/>
      <c r="F1124" s="677"/>
      <c r="G1124" s="677"/>
      <c r="H1124" s="872"/>
      <c r="I1124" s="871"/>
      <c r="J1124" s="871"/>
      <c r="K1124" s="870"/>
      <c r="L1124" s="870"/>
      <c r="M1124" s="870"/>
      <c r="N1124" s="870"/>
      <c r="O1124" s="870"/>
      <c r="P1124" s="870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73"/>
      <c r="E1125" s="677"/>
      <c r="F1125" s="677"/>
      <c r="G1125" s="677"/>
      <c r="H1125" s="872"/>
      <c r="I1125" s="871"/>
      <c r="J1125" s="871"/>
      <c r="K1125" s="870"/>
      <c r="L1125" s="870"/>
      <c r="M1125" s="870"/>
      <c r="N1125" s="870"/>
      <c r="O1125" s="870"/>
      <c r="P1125" s="870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73"/>
      <c r="E1126" s="677"/>
      <c r="F1126" s="677"/>
      <c r="G1126" s="677"/>
      <c r="H1126" s="872"/>
      <c r="I1126" s="871"/>
      <c r="J1126" s="871"/>
      <c r="K1126" s="870"/>
      <c r="L1126" s="870"/>
      <c r="M1126" s="870"/>
      <c r="N1126" s="870"/>
      <c r="O1126" s="870"/>
      <c r="P1126" s="870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73"/>
      <c r="E1127" s="677"/>
      <c r="F1127" s="677"/>
      <c r="G1127" s="677"/>
      <c r="H1127" s="872"/>
      <c r="I1127" s="871"/>
      <c r="J1127" s="871"/>
      <c r="K1127" s="870"/>
      <c r="L1127" s="870"/>
      <c r="M1127" s="870"/>
      <c r="N1127" s="870"/>
      <c r="O1127" s="870"/>
      <c r="P1127" s="870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73"/>
      <c r="E1128" s="677"/>
      <c r="F1128" s="677"/>
      <c r="G1128" s="677"/>
      <c r="H1128" s="872"/>
      <c r="I1128" s="871"/>
      <c r="J1128" s="871"/>
      <c r="K1128" s="870"/>
      <c r="L1128" s="870"/>
      <c r="M1128" s="870"/>
      <c r="N1128" s="870"/>
      <c r="O1128" s="870"/>
      <c r="P1128" s="870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73"/>
      <c r="E1129" s="677"/>
      <c r="F1129" s="677"/>
      <c r="G1129" s="677"/>
      <c r="H1129" s="872"/>
      <c r="I1129" s="871"/>
      <c r="J1129" s="871"/>
      <c r="K1129" s="870"/>
      <c r="L1129" s="870"/>
      <c r="M1129" s="870"/>
      <c r="N1129" s="870"/>
      <c r="O1129" s="870"/>
      <c r="P1129" s="870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73"/>
      <c r="E1130" s="677"/>
      <c r="F1130" s="677"/>
      <c r="G1130" s="677"/>
      <c r="H1130" s="872"/>
      <c r="I1130" s="871"/>
      <c r="J1130" s="871"/>
      <c r="K1130" s="870"/>
      <c r="L1130" s="870"/>
      <c r="M1130" s="870"/>
      <c r="N1130" s="870"/>
      <c r="O1130" s="870"/>
      <c r="P1130" s="870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73"/>
      <c r="E1131" s="677"/>
      <c r="F1131" s="677"/>
      <c r="G1131" s="677"/>
      <c r="H1131" s="872"/>
      <c r="I1131" s="871"/>
      <c r="J1131" s="871"/>
      <c r="K1131" s="870"/>
      <c r="L1131" s="870"/>
      <c r="M1131" s="870"/>
      <c r="N1131" s="870"/>
      <c r="O1131" s="870"/>
      <c r="P1131" s="870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73"/>
      <c r="E1132" s="677"/>
      <c r="F1132" s="677"/>
      <c r="G1132" s="677"/>
      <c r="H1132" s="872"/>
      <c r="I1132" s="871"/>
      <c r="J1132" s="871"/>
      <c r="K1132" s="870"/>
      <c r="L1132" s="870"/>
      <c r="M1132" s="870"/>
      <c r="N1132" s="870"/>
      <c r="O1132" s="870"/>
      <c r="P1132" s="870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73"/>
      <c r="E1133" s="677"/>
      <c r="F1133" s="677"/>
      <c r="G1133" s="677"/>
      <c r="H1133" s="872"/>
      <c r="I1133" s="871"/>
      <c r="J1133" s="871"/>
      <c r="K1133" s="870"/>
      <c r="L1133" s="870"/>
      <c r="M1133" s="870"/>
      <c r="N1133" s="870"/>
      <c r="O1133" s="870"/>
      <c r="P1133" s="870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73"/>
      <c r="E1134" s="677"/>
      <c r="F1134" s="677"/>
      <c r="G1134" s="677"/>
      <c r="H1134" s="872"/>
      <c r="I1134" s="871"/>
      <c r="J1134" s="871"/>
      <c r="K1134" s="870"/>
      <c r="L1134" s="870"/>
      <c r="M1134" s="870"/>
      <c r="N1134" s="870"/>
      <c r="O1134" s="870"/>
      <c r="P1134" s="870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73"/>
      <c r="E1135" s="677"/>
      <c r="F1135" s="677"/>
      <c r="G1135" s="677"/>
      <c r="H1135" s="872"/>
      <c r="I1135" s="871"/>
      <c r="J1135" s="871"/>
      <c r="K1135" s="870"/>
      <c r="L1135" s="870"/>
      <c r="M1135" s="870"/>
      <c r="N1135" s="870"/>
      <c r="O1135" s="870"/>
      <c r="P1135" s="870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73"/>
      <c r="E1136" s="677"/>
      <c r="F1136" s="677"/>
      <c r="G1136" s="677"/>
      <c r="H1136" s="872"/>
      <c r="I1136" s="871"/>
      <c r="J1136" s="871"/>
      <c r="K1136" s="870"/>
      <c r="L1136" s="870"/>
      <c r="M1136" s="870"/>
      <c r="N1136" s="870"/>
      <c r="O1136" s="870"/>
      <c r="P1136" s="870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73"/>
      <c r="E1137" s="677"/>
      <c r="F1137" s="677"/>
      <c r="G1137" s="677"/>
      <c r="H1137" s="872"/>
      <c r="I1137" s="871"/>
      <c r="J1137" s="871"/>
      <c r="K1137" s="870"/>
      <c r="L1137" s="870"/>
      <c r="M1137" s="870"/>
      <c r="N1137" s="870"/>
      <c r="O1137" s="870"/>
      <c r="P1137" s="870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73"/>
      <c r="E1138" s="677"/>
      <c r="F1138" s="677"/>
      <c r="G1138" s="677"/>
      <c r="H1138" s="872"/>
      <c r="I1138" s="871"/>
      <c r="J1138" s="871"/>
      <c r="K1138" s="870"/>
      <c r="L1138" s="870"/>
      <c r="M1138" s="870"/>
      <c r="N1138" s="870"/>
      <c r="O1138" s="870"/>
      <c r="P1138" s="870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73"/>
      <c r="E1139" s="677"/>
      <c r="F1139" s="677"/>
      <c r="G1139" s="677"/>
      <c r="H1139" s="872"/>
      <c r="I1139" s="871"/>
      <c r="J1139" s="871"/>
      <c r="K1139" s="870"/>
      <c r="L1139" s="870"/>
      <c r="M1139" s="870"/>
      <c r="N1139" s="870"/>
      <c r="O1139" s="870"/>
      <c r="P1139" s="870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73"/>
      <c r="E1140" s="677"/>
      <c r="F1140" s="677"/>
      <c r="G1140" s="677"/>
      <c r="H1140" s="872"/>
      <c r="I1140" s="871"/>
      <c r="J1140" s="871"/>
      <c r="K1140" s="870"/>
      <c r="L1140" s="870"/>
      <c r="M1140" s="870"/>
      <c r="N1140" s="870"/>
      <c r="O1140" s="870"/>
      <c r="P1140" s="870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73"/>
      <c r="E1141" s="677"/>
      <c r="F1141" s="677"/>
      <c r="G1141" s="677"/>
      <c r="H1141" s="872"/>
      <c r="I1141" s="871"/>
      <c r="J1141" s="871"/>
      <c r="K1141" s="870"/>
      <c r="L1141" s="870"/>
      <c r="M1141" s="870"/>
      <c r="N1141" s="870"/>
      <c r="O1141" s="870"/>
      <c r="P1141" s="870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73"/>
      <c r="E1142" s="677"/>
      <c r="F1142" s="677"/>
      <c r="G1142" s="677"/>
      <c r="H1142" s="872"/>
      <c r="I1142" s="871"/>
      <c r="J1142" s="871"/>
      <c r="K1142" s="870"/>
      <c r="L1142" s="870"/>
      <c r="M1142" s="870"/>
      <c r="N1142" s="870"/>
      <c r="O1142" s="870"/>
      <c r="P1142" s="870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73"/>
      <c r="E1143" s="677"/>
      <c r="F1143" s="677"/>
      <c r="G1143" s="677"/>
      <c r="H1143" s="872"/>
      <c r="I1143" s="871"/>
      <c r="J1143" s="871"/>
      <c r="K1143" s="870"/>
      <c r="L1143" s="870"/>
      <c r="M1143" s="870"/>
      <c r="N1143" s="870"/>
      <c r="O1143" s="870"/>
      <c r="P1143" s="870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73"/>
      <c r="E1144" s="677"/>
      <c r="F1144" s="677"/>
      <c r="G1144" s="677"/>
      <c r="H1144" s="872"/>
      <c r="I1144" s="871"/>
      <c r="J1144" s="871"/>
      <c r="K1144" s="870"/>
      <c r="L1144" s="870"/>
      <c r="M1144" s="870"/>
      <c r="N1144" s="870"/>
      <c r="O1144" s="870"/>
      <c r="P1144" s="870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73"/>
      <c r="E1145" s="677"/>
      <c r="F1145" s="677"/>
      <c r="G1145" s="677"/>
      <c r="H1145" s="872"/>
      <c r="I1145" s="871"/>
      <c r="J1145" s="871"/>
      <c r="K1145" s="870"/>
      <c r="L1145" s="870"/>
      <c r="M1145" s="870"/>
      <c r="N1145" s="870"/>
      <c r="O1145" s="870"/>
      <c r="P1145" s="870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73"/>
      <c r="E1146" s="677"/>
      <c r="F1146" s="677"/>
      <c r="G1146" s="677"/>
      <c r="H1146" s="872"/>
      <c r="I1146" s="871"/>
      <c r="J1146" s="871"/>
      <c r="K1146" s="870"/>
      <c r="L1146" s="870"/>
      <c r="M1146" s="870"/>
      <c r="N1146" s="870"/>
      <c r="O1146" s="870"/>
      <c r="P1146" s="870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73"/>
      <c r="E1147" s="677"/>
      <c r="F1147" s="677"/>
      <c r="G1147" s="677"/>
      <c r="H1147" s="872"/>
      <c r="I1147" s="871"/>
      <c r="J1147" s="871"/>
      <c r="K1147" s="870"/>
      <c r="L1147" s="870"/>
      <c r="M1147" s="870"/>
      <c r="N1147" s="870"/>
      <c r="O1147" s="870"/>
      <c r="P1147" s="870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73"/>
      <c r="E1148" s="677"/>
      <c r="F1148" s="677"/>
      <c r="G1148" s="677"/>
      <c r="H1148" s="872"/>
      <c r="I1148" s="871"/>
      <c r="J1148" s="871"/>
      <c r="K1148" s="870"/>
      <c r="L1148" s="870"/>
      <c r="M1148" s="870"/>
      <c r="N1148" s="870"/>
      <c r="O1148" s="870"/>
      <c r="P1148" s="870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73"/>
      <c r="E1149" s="677"/>
      <c r="F1149" s="677"/>
      <c r="G1149" s="677"/>
      <c r="H1149" s="872"/>
      <c r="I1149" s="871"/>
      <c r="J1149" s="871"/>
      <c r="K1149" s="870"/>
      <c r="L1149" s="870"/>
      <c r="M1149" s="870"/>
      <c r="N1149" s="870"/>
      <c r="O1149" s="870"/>
      <c r="P1149" s="870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73"/>
      <c r="E1150" s="677"/>
      <c r="F1150" s="677"/>
      <c r="G1150" s="677"/>
      <c r="H1150" s="872"/>
      <c r="I1150" s="871"/>
      <c r="J1150" s="871"/>
      <c r="K1150" s="870"/>
      <c r="L1150" s="870"/>
      <c r="M1150" s="870"/>
      <c r="N1150" s="870"/>
      <c r="O1150" s="870"/>
      <c r="P1150" s="870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73"/>
      <c r="E1151" s="677"/>
      <c r="F1151" s="677"/>
      <c r="G1151" s="677"/>
      <c r="H1151" s="872"/>
      <c r="I1151" s="871"/>
      <c r="J1151" s="871"/>
      <c r="K1151" s="870"/>
      <c r="L1151" s="870"/>
      <c r="M1151" s="870"/>
      <c r="N1151" s="870"/>
      <c r="O1151" s="870"/>
      <c r="P1151" s="870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73"/>
      <c r="E1152" s="677"/>
      <c r="F1152" s="677"/>
      <c r="G1152" s="677"/>
      <c r="H1152" s="872"/>
      <c r="I1152" s="871"/>
      <c r="J1152" s="871"/>
      <c r="K1152" s="870"/>
      <c r="L1152" s="870"/>
      <c r="M1152" s="870"/>
      <c r="N1152" s="870"/>
      <c r="O1152" s="870"/>
      <c r="P1152" s="870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73"/>
      <c r="E1153" s="677"/>
      <c r="F1153" s="677"/>
      <c r="G1153" s="677"/>
      <c r="H1153" s="872"/>
      <c r="I1153" s="871"/>
      <c r="J1153" s="871"/>
      <c r="K1153" s="870"/>
      <c r="L1153" s="870"/>
      <c r="M1153" s="870"/>
      <c r="N1153" s="870"/>
      <c r="O1153" s="870"/>
      <c r="P1153" s="870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73"/>
      <c r="E1154" s="677"/>
      <c r="F1154" s="677"/>
      <c r="G1154" s="677"/>
      <c r="H1154" s="872"/>
      <c r="I1154" s="871"/>
      <c r="J1154" s="871"/>
      <c r="K1154" s="870"/>
      <c r="L1154" s="870"/>
      <c r="M1154" s="870"/>
      <c r="N1154" s="870"/>
      <c r="O1154" s="870"/>
      <c r="P1154" s="870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73"/>
      <c r="E1155" s="677"/>
      <c r="F1155" s="677"/>
      <c r="G1155" s="677"/>
      <c r="H1155" s="872"/>
      <c r="I1155" s="871"/>
      <c r="J1155" s="871"/>
      <c r="K1155" s="870"/>
      <c r="L1155" s="870"/>
      <c r="M1155" s="870"/>
      <c r="N1155" s="870"/>
      <c r="O1155" s="870"/>
      <c r="P1155" s="870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73"/>
      <c r="E1156" s="677"/>
      <c r="F1156" s="677"/>
      <c r="G1156" s="677"/>
      <c r="H1156" s="872"/>
      <c r="I1156" s="871"/>
      <c r="J1156" s="871"/>
      <c r="K1156" s="870"/>
      <c r="L1156" s="870"/>
      <c r="M1156" s="870"/>
      <c r="N1156" s="870"/>
      <c r="O1156" s="870"/>
      <c r="P1156" s="870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73"/>
      <c r="E1157" s="677"/>
      <c r="F1157" s="677"/>
      <c r="G1157" s="677"/>
      <c r="H1157" s="872"/>
      <c r="I1157" s="871"/>
      <c r="J1157" s="871"/>
      <c r="K1157" s="870"/>
      <c r="L1157" s="870"/>
      <c r="M1157" s="870"/>
      <c r="N1157" s="870"/>
      <c r="O1157" s="870"/>
      <c r="P1157" s="870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73"/>
      <c r="E1158" s="677"/>
      <c r="F1158" s="677"/>
      <c r="G1158" s="677"/>
      <c r="H1158" s="872"/>
      <c r="I1158" s="871"/>
      <c r="J1158" s="871"/>
      <c r="K1158" s="870"/>
      <c r="L1158" s="870"/>
      <c r="M1158" s="870"/>
      <c r="N1158" s="870"/>
      <c r="O1158" s="870"/>
      <c r="P1158" s="870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73"/>
      <c r="E1159" s="677"/>
      <c r="F1159" s="677"/>
      <c r="G1159" s="677"/>
      <c r="H1159" s="872"/>
      <c r="I1159" s="871"/>
      <c r="J1159" s="871"/>
      <c r="K1159" s="870"/>
      <c r="L1159" s="870"/>
      <c r="M1159" s="870"/>
      <c r="N1159" s="870"/>
      <c r="O1159" s="870"/>
      <c r="P1159" s="870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73"/>
      <c r="E1160" s="677"/>
      <c r="F1160" s="677"/>
      <c r="G1160" s="677"/>
      <c r="H1160" s="872"/>
      <c r="I1160" s="871"/>
      <c r="J1160" s="871"/>
      <c r="K1160" s="870"/>
      <c r="L1160" s="870"/>
      <c r="M1160" s="870"/>
      <c r="N1160" s="870"/>
      <c r="O1160" s="870"/>
      <c r="P1160" s="870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73"/>
      <c r="E1161" s="677"/>
      <c r="F1161" s="677"/>
      <c r="G1161" s="677"/>
      <c r="H1161" s="872"/>
      <c r="I1161" s="871"/>
      <c r="J1161" s="871"/>
      <c r="K1161" s="870"/>
      <c r="L1161" s="870"/>
      <c r="M1161" s="870"/>
      <c r="N1161" s="870"/>
      <c r="O1161" s="870"/>
      <c r="P1161" s="870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73"/>
      <c r="E1162" s="677"/>
      <c r="F1162" s="677"/>
      <c r="G1162" s="677"/>
      <c r="H1162" s="872"/>
      <c r="I1162" s="871"/>
      <c r="J1162" s="871"/>
      <c r="K1162" s="870"/>
      <c r="L1162" s="870"/>
      <c r="M1162" s="870"/>
      <c r="N1162" s="870"/>
      <c r="O1162" s="870"/>
      <c r="P1162" s="870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73"/>
      <c r="E1163" s="677"/>
      <c r="F1163" s="677"/>
      <c r="G1163" s="677"/>
      <c r="H1163" s="872"/>
      <c r="I1163" s="871"/>
      <c r="J1163" s="871"/>
      <c r="K1163" s="870"/>
      <c r="L1163" s="870"/>
      <c r="M1163" s="870"/>
      <c r="N1163" s="870"/>
      <c r="O1163" s="870"/>
      <c r="P1163" s="870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73"/>
      <c r="E1164" s="677"/>
      <c r="F1164" s="677"/>
      <c r="G1164" s="677"/>
      <c r="H1164" s="872"/>
      <c r="I1164" s="871"/>
      <c r="J1164" s="871"/>
      <c r="K1164" s="870"/>
      <c r="L1164" s="870"/>
      <c r="M1164" s="870"/>
      <c r="N1164" s="870"/>
      <c r="O1164" s="870"/>
      <c r="P1164" s="870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73"/>
      <c r="E1165" s="677"/>
      <c r="F1165" s="677"/>
      <c r="G1165" s="677"/>
      <c r="H1165" s="872"/>
      <c r="I1165" s="871"/>
      <c r="J1165" s="871"/>
      <c r="K1165" s="870"/>
      <c r="L1165" s="870"/>
      <c r="M1165" s="870"/>
      <c r="N1165" s="870"/>
      <c r="O1165" s="870"/>
      <c r="P1165" s="870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73"/>
      <c r="E1166" s="677"/>
      <c r="F1166" s="677"/>
      <c r="G1166" s="677"/>
      <c r="H1166" s="872"/>
      <c r="I1166" s="871"/>
      <c r="J1166" s="871"/>
      <c r="K1166" s="870"/>
      <c r="L1166" s="870"/>
      <c r="M1166" s="870"/>
      <c r="N1166" s="870"/>
      <c r="O1166" s="870"/>
      <c r="P1166" s="870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73"/>
      <c r="E1167" s="677"/>
      <c r="F1167" s="677"/>
      <c r="G1167" s="677"/>
      <c r="H1167" s="872"/>
      <c r="I1167" s="871"/>
      <c r="J1167" s="871"/>
      <c r="K1167" s="870"/>
      <c r="L1167" s="870"/>
      <c r="M1167" s="870"/>
      <c r="N1167" s="870"/>
      <c r="O1167" s="870"/>
      <c r="P1167" s="870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73"/>
      <c r="E1168" s="677"/>
      <c r="F1168" s="677"/>
      <c r="G1168" s="677"/>
      <c r="H1168" s="872"/>
      <c r="I1168" s="871"/>
      <c r="J1168" s="871"/>
      <c r="K1168" s="870"/>
      <c r="L1168" s="870"/>
      <c r="M1168" s="870"/>
      <c r="N1168" s="870"/>
      <c r="O1168" s="870"/>
      <c r="P1168" s="870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73"/>
      <c r="E1169" s="677"/>
      <c r="F1169" s="677"/>
      <c r="G1169" s="677"/>
      <c r="H1169" s="872"/>
      <c r="I1169" s="871"/>
      <c r="J1169" s="871"/>
      <c r="K1169" s="870"/>
      <c r="L1169" s="870"/>
      <c r="M1169" s="870"/>
      <c r="N1169" s="870"/>
      <c r="O1169" s="870"/>
      <c r="P1169" s="870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73"/>
      <c r="E1170" s="677"/>
      <c r="F1170" s="677"/>
      <c r="G1170" s="677"/>
      <c r="H1170" s="872"/>
      <c r="I1170" s="871"/>
      <c r="J1170" s="871"/>
      <c r="K1170" s="870"/>
      <c r="L1170" s="870"/>
      <c r="M1170" s="870"/>
      <c r="N1170" s="870"/>
      <c r="O1170" s="870"/>
      <c r="P1170" s="870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73"/>
      <c r="E1171" s="677"/>
      <c r="F1171" s="677"/>
      <c r="G1171" s="677"/>
      <c r="H1171" s="872"/>
      <c r="I1171" s="871"/>
      <c r="J1171" s="871"/>
      <c r="K1171" s="870"/>
      <c r="L1171" s="870"/>
      <c r="M1171" s="870"/>
      <c r="N1171" s="870"/>
      <c r="O1171" s="870"/>
      <c r="P1171" s="870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73"/>
      <c r="E1172" s="677"/>
      <c r="F1172" s="677"/>
      <c r="G1172" s="677"/>
      <c r="H1172" s="872"/>
      <c r="I1172" s="871"/>
      <c r="J1172" s="871"/>
      <c r="K1172" s="870"/>
      <c r="L1172" s="870"/>
      <c r="M1172" s="870"/>
      <c r="N1172" s="870"/>
      <c r="O1172" s="870"/>
      <c r="P1172" s="870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73"/>
      <c r="E1173" s="677"/>
      <c r="F1173" s="677"/>
      <c r="G1173" s="677"/>
      <c r="H1173" s="872"/>
      <c r="I1173" s="871"/>
      <c r="J1173" s="871"/>
      <c r="K1173" s="870"/>
      <c r="L1173" s="870"/>
      <c r="M1173" s="870"/>
      <c r="N1173" s="870"/>
      <c r="O1173" s="870"/>
      <c r="P1173" s="870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73"/>
      <c r="E1174" s="677"/>
      <c r="F1174" s="677"/>
      <c r="G1174" s="677"/>
      <c r="H1174" s="872"/>
      <c r="I1174" s="871"/>
      <c r="J1174" s="871"/>
      <c r="K1174" s="870"/>
      <c r="L1174" s="870"/>
      <c r="M1174" s="870"/>
      <c r="N1174" s="870"/>
      <c r="O1174" s="870"/>
      <c r="P1174" s="870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73"/>
      <c r="E1175" s="677"/>
      <c r="F1175" s="677"/>
      <c r="G1175" s="677"/>
      <c r="H1175" s="872"/>
      <c r="I1175" s="871"/>
      <c r="J1175" s="871"/>
      <c r="K1175" s="870"/>
      <c r="L1175" s="870"/>
      <c r="M1175" s="870"/>
      <c r="N1175" s="870"/>
      <c r="O1175" s="870"/>
      <c r="P1175" s="870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73"/>
      <c r="E1176" s="677"/>
      <c r="F1176" s="677"/>
      <c r="G1176" s="677"/>
      <c r="H1176" s="872"/>
      <c r="I1176" s="871"/>
      <c r="J1176" s="871"/>
      <c r="K1176" s="870"/>
      <c r="L1176" s="870"/>
      <c r="M1176" s="870"/>
      <c r="N1176" s="870"/>
      <c r="O1176" s="870"/>
      <c r="P1176" s="870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73"/>
      <c r="E1177" s="677"/>
      <c r="F1177" s="677"/>
      <c r="G1177" s="677"/>
      <c r="H1177" s="872"/>
      <c r="I1177" s="871"/>
      <c r="J1177" s="871"/>
      <c r="K1177" s="870"/>
      <c r="L1177" s="870"/>
      <c r="M1177" s="870"/>
      <c r="N1177" s="870"/>
      <c r="O1177" s="870"/>
      <c r="P1177" s="870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73"/>
      <c r="E1178" s="677"/>
      <c r="F1178" s="677"/>
      <c r="G1178" s="677"/>
      <c r="H1178" s="872"/>
      <c r="I1178" s="871"/>
      <c r="J1178" s="871"/>
      <c r="K1178" s="870"/>
      <c r="L1178" s="870"/>
      <c r="M1178" s="870"/>
      <c r="N1178" s="870"/>
      <c r="O1178" s="870"/>
      <c r="P1178" s="870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73"/>
      <c r="E1179" s="677"/>
      <c r="F1179" s="677"/>
      <c r="G1179" s="677"/>
      <c r="H1179" s="872"/>
      <c r="I1179" s="871"/>
      <c r="J1179" s="871"/>
      <c r="K1179" s="870"/>
      <c r="L1179" s="870"/>
      <c r="M1179" s="870"/>
      <c r="N1179" s="870"/>
      <c r="O1179" s="870"/>
      <c r="P1179" s="870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73"/>
      <c r="E1180" s="677"/>
      <c r="F1180" s="677"/>
      <c r="G1180" s="677"/>
      <c r="H1180" s="872"/>
      <c r="I1180" s="871"/>
      <c r="J1180" s="871"/>
      <c r="K1180" s="870"/>
      <c r="L1180" s="870"/>
      <c r="M1180" s="870"/>
      <c r="N1180" s="870"/>
      <c r="O1180" s="870"/>
      <c r="P1180" s="870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73"/>
      <c r="E1181" s="677"/>
      <c r="F1181" s="677"/>
      <c r="G1181" s="677"/>
      <c r="H1181" s="872"/>
      <c r="I1181" s="871"/>
      <c r="J1181" s="871"/>
      <c r="K1181" s="870"/>
      <c r="L1181" s="870"/>
      <c r="M1181" s="870"/>
      <c r="N1181" s="870"/>
      <c r="O1181" s="870"/>
      <c r="P1181" s="870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73"/>
      <c r="E1182" s="677"/>
      <c r="F1182" s="677"/>
      <c r="G1182" s="677"/>
      <c r="H1182" s="872"/>
      <c r="I1182" s="871"/>
      <c r="J1182" s="871"/>
      <c r="K1182" s="870"/>
      <c r="L1182" s="870"/>
      <c r="M1182" s="870"/>
      <c r="N1182" s="870"/>
      <c r="O1182" s="870"/>
      <c r="P1182" s="870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73"/>
      <c r="E1183" s="677"/>
      <c r="F1183" s="677"/>
      <c r="G1183" s="677"/>
      <c r="H1183" s="872"/>
      <c r="I1183" s="871"/>
      <c r="J1183" s="871"/>
      <c r="K1183" s="870"/>
      <c r="L1183" s="870"/>
      <c r="M1183" s="870"/>
      <c r="N1183" s="870"/>
      <c r="O1183" s="870"/>
      <c r="P1183" s="870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73"/>
      <c r="E1184" s="677"/>
      <c r="F1184" s="677"/>
      <c r="G1184" s="677"/>
      <c r="H1184" s="872"/>
      <c r="I1184" s="871"/>
      <c r="J1184" s="871"/>
      <c r="K1184" s="870"/>
      <c r="L1184" s="870"/>
      <c r="M1184" s="870"/>
      <c r="N1184" s="870"/>
      <c r="O1184" s="870"/>
      <c r="P1184" s="870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73"/>
      <c r="E1185" s="677"/>
      <c r="F1185" s="677"/>
      <c r="G1185" s="677"/>
      <c r="H1185" s="872"/>
      <c r="I1185" s="871"/>
      <c r="J1185" s="871"/>
      <c r="K1185" s="870"/>
      <c r="L1185" s="870"/>
      <c r="M1185" s="870"/>
      <c r="N1185" s="870"/>
      <c r="O1185" s="870"/>
      <c r="P1185" s="870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73"/>
      <c r="E1186" s="677"/>
      <c r="F1186" s="677"/>
      <c r="G1186" s="677"/>
      <c r="H1186" s="872"/>
      <c r="I1186" s="871"/>
      <c r="J1186" s="871"/>
      <c r="K1186" s="870"/>
      <c r="L1186" s="870"/>
      <c r="M1186" s="870"/>
      <c r="N1186" s="870"/>
      <c r="O1186" s="870"/>
      <c r="P1186" s="870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73"/>
      <c r="E1187" s="677"/>
      <c r="F1187" s="677"/>
      <c r="G1187" s="677"/>
      <c r="H1187" s="872"/>
      <c r="I1187" s="871"/>
      <c r="J1187" s="871"/>
      <c r="K1187" s="870"/>
      <c r="L1187" s="870"/>
      <c r="M1187" s="870"/>
      <c r="N1187" s="870"/>
      <c r="O1187" s="870"/>
      <c r="P1187" s="870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73"/>
      <c r="E1188" s="677"/>
      <c r="F1188" s="677"/>
      <c r="G1188" s="677"/>
      <c r="H1188" s="872"/>
      <c r="I1188" s="871"/>
      <c r="J1188" s="871"/>
      <c r="K1188" s="870"/>
      <c r="L1188" s="870"/>
      <c r="M1188" s="870"/>
      <c r="N1188" s="870"/>
      <c r="O1188" s="870"/>
      <c r="P1188" s="870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73"/>
      <c r="E1189" s="677"/>
      <c r="F1189" s="677"/>
      <c r="G1189" s="677"/>
      <c r="H1189" s="872"/>
      <c r="I1189" s="871"/>
      <c r="J1189" s="871"/>
      <c r="K1189" s="870"/>
      <c r="L1189" s="870"/>
      <c r="M1189" s="870"/>
      <c r="N1189" s="870"/>
      <c r="O1189" s="870"/>
      <c r="P1189" s="870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73"/>
      <c r="E1190" s="677"/>
      <c r="F1190" s="677"/>
      <c r="G1190" s="677"/>
      <c r="H1190" s="872"/>
      <c r="I1190" s="871"/>
      <c r="J1190" s="871"/>
      <c r="K1190" s="870"/>
      <c r="L1190" s="870"/>
      <c r="M1190" s="870"/>
      <c r="N1190" s="870"/>
      <c r="O1190" s="870"/>
      <c r="P1190" s="870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73"/>
      <c r="E1191" s="677"/>
      <c r="F1191" s="677"/>
      <c r="G1191" s="677"/>
      <c r="H1191" s="872"/>
      <c r="I1191" s="871"/>
      <c r="J1191" s="871"/>
      <c r="K1191" s="870"/>
      <c r="L1191" s="870"/>
      <c r="M1191" s="870"/>
      <c r="N1191" s="870"/>
      <c r="O1191" s="870"/>
      <c r="P1191" s="870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73"/>
      <c r="E1192" s="677"/>
      <c r="F1192" s="677"/>
      <c r="G1192" s="677"/>
      <c r="H1192" s="872"/>
      <c r="I1192" s="871"/>
      <c r="J1192" s="871"/>
      <c r="K1192" s="870"/>
      <c r="L1192" s="870"/>
      <c r="M1192" s="870"/>
      <c r="N1192" s="870"/>
      <c r="O1192" s="870"/>
      <c r="P1192" s="870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73"/>
      <c r="E1193" s="677"/>
      <c r="F1193" s="677"/>
      <c r="G1193" s="677"/>
      <c r="H1193" s="872"/>
      <c r="I1193" s="871"/>
      <c r="J1193" s="871"/>
      <c r="K1193" s="870"/>
      <c r="L1193" s="870"/>
      <c r="M1193" s="870"/>
      <c r="N1193" s="870"/>
      <c r="O1193" s="870"/>
      <c r="P1193" s="870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73"/>
      <c r="E1194" s="677"/>
      <c r="F1194" s="677"/>
      <c r="G1194" s="677"/>
      <c r="H1194" s="872"/>
      <c r="I1194" s="871"/>
      <c r="J1194" s="871"/>
      <c r="K1194" s="870"/>
      <c r="L1194" s="870"/>
      <c r="M1194" s="870"/>
      <c r="N1194" s="870"/>
      <c r="O1194" s="870"/>
      <c r="P1194" s="870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73"/>
      <c r="E1195" s="677"/>
      <c r="F1195" s="677"/>
      <c r="G1195" s="677"/>
      <c r="H1195" s="872"/>
      <c r="I1195" s="871"/>
      <c r="J1195" s="871"/>
      <c r="K1195" s="870"/>
      <c r="L1195" s="870"/>
      <c r="M1195" s="870"/>
      <c r="N1195" s="870"/>
      <c r="O1195" s="870"/>
      <c r="P1195" s="870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73"/>
      <c r="E1196" s="677"/>
      <c r="F1196" s="677"/>
      <c r="G1196" s="677"/>
      <c r="H1196" s="872"/>
      <c r="I1196" s="871"/>
      <c r="J1196" s="871"/>
      <c r="K1196" s="870"/>
      <c r="L1196" s="870"/>
      <c r="M1196" s="870"/>
      <c r="N1196" s="870"/>
      <c r="O1196" s="870"/>
      <c r="P1196" s="870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73"/>
      <c r="E1197" s="677"/>
      <c r="F1197" s="677"/>
      <c r="G1197" s="677"/>
      <c r="H1197" s="872"/>
      <c r="I1197" s="871"/>
      <c r="J1197" s="871"/>
      <c r="K1197" s="870"/>
      <c r="L1197" s="870"/>
      <c r="M1197" s="870"/>
      <c r="N1197" s="870"/>
      <c r="O1197" s="870"/>
      <c r="P1197" s="870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73"/>
      <c r="E1198" s="677"/>
      <c r="F1198" s="677"/>
      <c r="G1198" s="677"/>
      <c r="H1198" s="872"/>
      <c r="I1198" s="871"/>
      <c r="J1198" s="871"/>
      <c r="K1198" s="870"/>
      <c r="L1198" s="870"/>
      <c r="M1198" s="870"/>
      <c r="N1198" s="870"/>
      <c r="O1198" s="870"/>
      <c r="P1198" s="870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73"/>
      <c r="E1199" s="677"/>
      <c r="F1199" s="677"/>
      <c r="G1199" s="677"/>
      <c r="H1199" s="872"/>
      <c r="I1199" s="871"/>
      <c r="J1199" s="871"/>
      <c r="K1199" s="870"/>
      <c r="L1199" s="870"/>
      <c r="M1199" s="870"/>
      <c r="N1199" s="870"/>
      <c r="O1199" s="870"/>
      <c r="P1199" s="870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73"/>
      <c r="E1200" s="677"/>
      <c r="F1200" s="677"/>
      <c r="G1200" s="677"/>
      <c r="H1200" s="872"/>
      <c r="I1200" s="871"/>
      <c r="J1200" s="871"/>
      <c r="K1200" s="870"/>
      <c r="L1200" s="870"/>
      <c r="M1200" s="870"/>
      <c r="N1200" s="870"/>
      <c r="O1200" s="870"/>
      <c r="P1200" s="870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73"/>
      <c r="E1201" s="677"/>
      <c r="F1201" s="677"/>
      <c r="G1201" s="677"/>
      <c r="H1201" s="872"/>
      <c r="I1201" s="871"/>
      <c r="J1201" s="871"/>
      <c r="K1201" s="870"/>
      <c r="L1201" s="870"/>
      <c r="M1201" s="870"/>
      <c r="N1201" s="870"/>
      <c r="O1201" s="870"/>
      <c r="P1201" s="870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73"/>
      <c r="E1202" s="677"/>
      <c r="F1202" s="677"/>
      <c r="G1202" s="677"/>
      <c r="H1202" s="872"/>
      <c r="I1202" s="871"/>
      <c r="J1202" s="871"/>
      <c r="K1202" s="870"/>
      <c r="L1202" s="870"/>
      <c r="M1202" s="870"/>
      <c r="N1202" s="870"/>
      <c r="O1202" s="870"/>
      <c r="P1202" s="870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73"/>
      <c r="E1203" s="677"/>
      <c r="F1203" s="677"/>
      <c r="G1203" s="677"/>
      <c r="H1203" s="872"/>
      <c r="I1203" s="871"/>
      <c r="J1203" s="871"/>
      <c r="K1203" s="870"/>
      <c r="L1203" s="870"/>
      <c r="M1203" s="870"/>
      <c r="N1203" s="870"/>
      <c r="O1203" s="870"/>
      <c r="P1203" s="870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73"/>
      <c r="E1204" s="677"/>
      <c r="F1204" s="677"/>
      <c r="G1204" s="677"/>
      <c r="H1204" s="872"/>
      <c r="I1204" s="871"/>
      <c r="J1204" s="871"/>
      <c r="K1204" s="870"/>
      <c r="L1204" s="870"/>
      <c r="M1204" s="870"/>
      <c r="N1204" s="870"/>
      <c r="O1204" s="870"/>
      <c r="P1204" s="870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73"/>
      <c r="E1205" s="677"/>
      <c r="F1205" s="677"/>
      <c r="G1205" s="677"/>
      <c r="H1205" s="872"/>
      <c r="I1205" s="871"/>
      <c r="J1205" s="871"/>
      <c r="K1205" s="870"/>
      <c r="L1205" s="870"/>
      <c r="M1205" s="870"/>
      <c r="N1205" s="870"/>
      <c r="O1205" s="870"/>
      <c r="P1205" s="870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73"/>
      <c r="E1206" s="677"/>
      <c r="F1206" s="677"/>
      <c r="G1206" s="677"/>
      <c r="H1206" s="872"/>
      <c r="I1206" s="871"/>
      <c r="J1206" s="871"/>
      <c r="K1206" s="870"/>
      <c r="L1206" s="870"/>
      <c r="M1206" s="870"/>
      <c r="N1206" s="870"/>
      <c r="O1206" s="870"/>
      <c r="P1206" s="870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73"/>
      <c r="E1207" s="677"/>
      <c r="F1207" s="677"/>
      <c r="G1207" s="677"/>
      <c r="H1207" s="872"/>
      <c r="I1207" s="871"/>
      <c r="J1207" s="871"/>
      <c r="K1207" s="870"/>
      <c r="L1207" s="870"/>
      <c r="M1207" s="870"/>
      <c r="N1207" s="870"/>
      <c r="O1207" s="870"/>
      <c r="P1207" s="870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73"/>
      <c r="E1208" s="677"/>
      <c r="F1208" s="677"/>
      <c r="G1208" s="677"/>
      <c r="H1208" s="872"/>
      <c r="I1208" s="871"/>
      <c r="J1208" s="871"/>
      <c r="K1208" s="870"/>
      <c r="L1208" s="870"/>
      <c r="M1208" s="870"/>
      <c r="N1208" s="870"/>
      <c r="O1208" s="870"/>
      <c r="P1208" s="870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73"/>
      <c r="E1209" s="677"/>
      <c r="F1209" s="677"/>
      <c r="G1209" s="677"/>
      <c r="H1209" s="872"/>
      <c r="I1209" s="871"/>
      <c r="J1209" s="871"/>
      <c r="K1209" s="870"/>
      <c r="L1209" s="870"/>
      <c r="M1209" s="870"/>
      <c r="N1209" s="870"/>
      <c r="O1209" s="870"/>
      <c r="P1209" s="870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73"/>
      <c r="E1210" s="677"/>
      <c r="F1210" s="677"/>
      <c r="G1210" s="677"/>
      <c r="H1210" s="872"/>
      <c r="I1210" s="871"/>
      <c r="J1210" s="871"/>
      <c r="K1210" s="870"/>
      <c r="L1210" s="870"/>
      <c r="M1210" s="870"/>
      <c r="N1210" s="870"/>
      <c r="O1210" s="870"/>
      <c r="P1210" s="870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73"/>
      <c r="E1211" s="677"/>
      <c r="F1211" s="677"/>
      <c r="G1211" s="677"/>
      <c r="H1211" s="872"/>
      <c r="I1211" s="871"/>
      <c r="J1211" s="871"/>
      <c r="K1211" s="870"/>
      <c r="L1211" s="870"/>
      <c r="M1211" s="870"/>
      <c r="N1211" s="870"/>
      <c r="O1211" s="870"/>
      <c r="P1211" s="870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73"/>
      <c r="E1212" s="677"/>
      <c r="F1212" s="677"/>
      <c r="G1212" s="677"/>
      <c r="H1212" s="872"/>
      <c r="I1212" s="871"/>
      <c r="J1212" s="871"/>
      <c r="K1212" s="870"/>
      <c r="L1212" s="870"/>
      <c r="M1212" s="870"/>
      <c r="N1212" s="870"/>
      <c r="O1212" s="870"/>
      <c r="P1212" s="870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73"/>
      <c r="E1213" s="677"/>
      <c r="F1213" s="677"/>
      <c r="G1213" s="677"/>
      <c r="H1213" s="872"/>
      <c r="I1213" s="871"/>
      <c r="J1213" s="871"/>
      <c r="K1213" s="870"/>
      <c r="L1213" s="870"/>
      <c r="M1213" s="870"/>
      <c r="N1213" s="870"/>
      <c r="O1213" s="870"/>
      <c r="P1213" s="870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73"/>
      <c r="E1214" s="677"/>
      <c r="F1214" s="677"/>
      <c r="G1214" s="677"/>
      <c r="H1214" s="872"/>
      <c r="I1214" s="871"/>
      <c r="J1214" s="871"/>
      <c r="K1214" s="870"/>
      <c r="L1214" s="870"/>
      <c r="M1214" s="870"/>
      <c r="N1214" s="870"/>
      <c r="O1214" s="870"/>
      <c r="P1214" s="870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73"/>
      <c r="E1215" s="677"/>
      <c r="F1215" s="677"/>
      <c r="G1215" s="677"/>
      <c r="H1215" s="872"/>
      <c r="I1215" s="871"/>
      <c r="J1215" s="871"/>
      <c r="K1215" s="870"/>
      <c r="L1215" s="870"/>
      <c r="M1215" s="870"/>
      <c r="N1215" s="870"/>
      <c r="O1215" s="870"/>
      <c r="P1215" s="870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73"/>
      <c r="E1216" s="677"/>
      <c r="F1216" s="677"/>
      <c r="G1216" s="677"/>
      <c r="H1216" s="872"/>
      <c r="I1216" s="871"/>
      <c r="J1216" s="871"/>
      <c r="K1216" s="870"/>
      <c r="L1216" s="870"/>
      <c r="M1216" s="870"/>
      <c r="N1216" s="870"/>
      <c r="O1216" s="870"/>
      <c r="P1216" s="870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73"/>
      <c r="E1217" s="677"/>
      <c r="F1217" s="677"/>
      <c r="G1217" s="677"/>
      <c r="H1217" s="872"/>
      <c r="I1217" s="871"/>
      <c r="J1217" s="871"/>
      <c r="K1217" s="870"/>
      <c r="L1217" s="870"/>
      <c r="M1217" s="870"/>
      <c r="N1217" s="870"/>
      <c r="O1217" s="870"/>
      <c r="P1217" s="870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73"/>
      <c r="E1218" s="677"/>
      <c r="F1218" s="677"/>
      <c r="G1218" s="677"/>
      <c r="H1218" s="872"/>
      <c r="I1218" s="871"/>
      <c r="J1218" s="871"/>
      <c r="K1218" s="870"/>
      <c r="L1218" s="870"/>
      <c r="M1218" s="870"/>
      <c r="N1218" s="870"/>
      <c r="O1218" s="870"/>
      <c r="P1218" s="870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73"/>
      <c r="E1219" s="677"/>
      <c r="F1219" s="677"/>
      <c r="G1219" s="677"/>
      <c r="H1219" s="872"/>
      <c r="I1219" s="871"/>
      <c r="J1219" s="871"/>
      <c r="K1219" s="870"/>
      <c r="L1219" s="870"/>
      <c r="M1219" s="870"/>
      <c r="N1219" s="870"/>
      <c r="O1219" s="870"/>
      <c r="P1219" s="870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73"/>
      <c r="E1220" s="677"/>
      <c r="F1220" s="677"/>
      <c r="G1220" s="677"/>
      <c r="H1220" s="872"/>
      <c r="I1220" s="871"/>
      <c r="J1220" s="871"/>
      <c r="K1220" s="870"/>
      <c r="L1220" s="870"/>
      <c r="M1220" s="870"/>
      <c r="N1220" s="870"/>
      <c r="O1220" s="870"/>
      <c r="P1220" s="870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73"/>
      <c r="E1221" s="677"/>
      <c r="F1221" s="677"/>
      <c r="G1221" s="677"/>
      <c r="H1221" s="872"/>
      <c r="I1221" s="871"/>
      <c r="J1221" s="871"/>
      <c r="K1221" s="870"/>
      <c r="L1221" s="870"/>
      <c r="M1221" s="870"/>
      <c r="N1221" s="870"/>
      <c r="O1221" s="870"/>
      <c r="P1221" s="870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73"/>
      <c r="E1222" s="677"/>
      <c r="F1222" s="677"/>
      <c r="G1222" s="677"/>
      <c r="H1222" s="872"/>
      <c r="I1222" s="871"/>
      <c r="J1222" s="871"/>
      <c r="K1222" s="870"/>
      <c r="L1222" s="870"/>
      <c r="M1222" s="870"/>
      <c r="N1222" s="870"/>
      <c r="O1222" s="870"/>
      <c r="P1222" s="870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73"/>
      <c r="E1223" s="677"/>
      <c r="F1223" s="677"/>
      <c r="G1223" s="677"/>
      <c r="H1223" s="872"/>
      <c r="I1223" s="871"/>
      <c r="J1223" s="871"/>
      <c r="K1223" s="870"/>
      <c r="L1223" s="870"/>
      <c r="M1223" s="870"/>
      <c r="N1223" s="870"/>
      <c r="O1223" s="870"/>
      <c r="P1223" s="870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73"/>
      <c r="E1224" s="677"/>
      <c r="F1224" s="677"/>
      <c r="G1224" s="677"/>
      <c r="H1224" s="872"/>
      <c r="I1224" s="871"/>
      <c r="J1224" s="871"/>
      <c r="K1224" s="870"/>
      <c r="L1224" s="870"/>
      <c r="M1224" s="870"/>
      <c r="N1224" s="870"/>
      <c r="O1224" s="870"/>
      <c r="P1224" s="870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73"/>
      <c r="E1225" s="677"/>
      <c r="F1225" s="677"/>
      <c r="G1225" s="677"/>
      <c r="H1225" s="872"/>
      <c r="I1225" s="871"/>
      <c r="J1225" s="871"/>
      <c r="K1225" s="870"/>
      <c r="L1225" s="870"/>
      <c r="M1225" s="870"/>
      <c r="N1225" s="870"/>
      <c r="O1225" s="870"/>
      <c r="P1225" s="870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73"/>
      <c r="E1226" s="677"/>
      <c r="F1226" s="677"/>
      <c r="G1226" s="677"/>
      <c r="H1226" s="872"/>
      <c r="I1226" s="871"/>
      <c r="J1226" s="871"/>
      <c r="K1226" s="870"/>
      <c r="L1226" s="870"/>
      <c r="M1226" s="870"/>
      <c r="N1226" s="870"/>
      <c r="O1226" s="870"/>
      <c r="P1226" s="870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73"/>
      <c r="E1227" s="677"/>
      <c r="F1227" s="677"/>
      <c r="G1227" s="677"/>
      <c r="H1227" s="872"/>
      <c r="I1227" s="871"/>
      <c r="J1227" s="871"/>
      <c r="K1227" s="870"/>
      <c r="L1227" s="870"/>
      <c r="M1227" s="870"/>
      <c r="N1227" s="870"/>
      <c r="O1227" s="870"/>
      <c r="P1227" s="870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73"/>
      <c r="E1228" s="677"/>
      <c r="F1228" s="677"/>
      <c r="G1228" s="677"/>
      <c r="H1228" s="872"/>
      <c r="I1228" s="871"/>
      <c r="J1228" s="871"/>
      <c r="K1228" s="870"/>
      <c r="L1228" s="870"/>
      <c r="M1228" s="870"/>
      <c r="N1228" s="870"/>
      <c r="O1228" s="870"/>
      <c r="P1228" s="870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73"/>
      <c r="E1229" s="677"/>
      <c r="F1229" s="677"/>
      <c r="G1229" s="677"/>
      <c r="H1229" s="872"/>
      <c r="I1229" s="871"/>
      <c r="J1229" s="871"/>
      <c r="K1229" s="870"/>
      <c r="L1229" s="870"/>
      <c r="M1229" s="870"/>
      <c r="N1229" s="870"/>
      <c r="O1229" s="870"/>
      <c r="P1229" s="870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73"/>
      <c r="E1230" s="677"/>
      <c r="F1230" s="677"/>
      <c r="G1230" s="677"/>
      <c r="H1230" s="872"/>
      <c r="I1230" s="871"/>
      <c r="J1230" s="871"/>
      <c r="K1230" s="870"/>
      <c r="L1230" s="870"/>
      <c r="M1230" s="870"/>
      <c r="N1230" s="870"/>
      <c r="O1230" s="870"/>
      <c r="P1230" s="870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73"/>
      <c r="E1231" s="677"/>
      <c r="F1231" s="677"/>
      <c r="G1231" s="677"/>
      <c r="H1231" s="872"/>
      <c r="I1231" s="871"/>
      <c r="J1231" s="871"/>
      <c r="K1231" s="870"/>
      <c r="L1231" s="870"/>
      <c r="M1231" s="870"/>
      <c r="N1231" s="870"/>
      <c r="O1231" s="870"/>
      <c r="P1231" s="870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73"/>
      <c r="E1232" s="677"/>
      <c r="F1232" s="677"/>
      <c r="G1232" s="677"/>
      <c r="H1232" s="872"/>
      <c r="I1232" s="871"/>
      <c r="J1232" s="871"/>
      <c r="K1232" s="870"/>
      <c r="L1232" s="870"/>
      <c r="M1232" s="870"/>
      <c r="N1232" s="870"/>
      <c r="O1232" s="870"/>
      <c r="P1232" s="870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73"/>
      <c r="E1233" s="677"/>
      <c r="F1233" s="677"/>
      <c r="G1233" s="677"/>
      <c r="H1233" s="872"/>
      <c r="I1233" s="871"/>
      <c r="J1233" s="871"/>
      <c r="K1233" s="870"/>
      <c r="L1233" s="870"/>
      <c r="M1233" s="870"/>
      <c r="N1233" s="870"/>
      <c r="O1233" s="870"/>
      <c r="P1233" s="870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73"/>
      <c r="E1234" s="677"/>
      <c r="F1234" s="677"/>
      <c r="G1234" s="677"/>
      <c r="H1234" s="872"/>
      <c r="I1234" s="871"/>
      <c r="J1234" s="871"/>
      <c r="K1234" s="870"/>
      <c r="L1234" s="870"/>
      <c r="M1234" s="870"/>
      <c r="N1234" s="870"/>
      <c r="O1234" s="870"/>
      <c r="P1234" s="870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73"/>
      <c r="E1235" s="677"/>
      <c r="F1235" s="677"/>
      <c r="G1235" s="677"/>
      <c r="H1235" s="872"/>
      <c r="I1235" s="871"/>
      <c r="J1235" s="871"/>
      <c r="K1235" s="870"/>
      <c r="L1235" s="870"/>
      <c r="M1235" s="870"/>
      <c r="N1235" s="870"/>
      <c r="O1235" s="870"/>
      <c r="P1235" s="870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73"/>
      <c r="E1236" s="677"/>
      <c r="F1236" s="677"/>
      <c r="G1236" s="677"/>
      <c r="H1236" s="872"/>
      <c r="I1236" s="871"/>
      <c r="J1236" s="871"/>
      <c r="K1236" s="870"/>
      <c r="L1236" s="870"/>
      <c r="M1236" s="870"/>
      <c r="N1236" s="870"/>
      <c r="O1236" s="870"/>
      <c r="P1236" s="870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73"/>
      <c r="E1237" s="677"/>
      <c r="F1237" s="677"/>
      <c r="G1237" s="677"/>
      <c r="H1237" s="872"/>
      <c r="I1237" s="871"/>
      <c r="J1237" s="871"/>
      <c r="K1237" s="870"/>
      <c r="L1237" s="870"/>
      <c r="M1237" s="870"/>
      <c r="N1237" s="870"/>
      <c r="O1237" s="870"/>
      <c r="P1237" s="870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73"/>
      <c r="E1238" s="677"/>
      <c r="F1238" s="677"/>
      <c r="G1238" s="677"/>
      <c r="H1238" s="872"/>
      <c r="I1238" s="871"/>
      <c r="J1238" s="871"/>
      <c r="K1238" s="870"/>
      <c r="L1238" s="870"/>
      <c r="M1238" s="870"/>
      <c r="N1238" s="870"/>
      <c r="O1238" s="870"/>
      <c r="P1238" s="870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73"/>
      <c r="E1239" s="677"/>
      <c r="F1239" s="677"/>
      <c r="G1239" s="677"/>
      <c r="H1239" s="872"/>
      <c r="I1239" s="871"/>
      <c r="J1239" s="871"/>
      <c r="K1239" s="870"/>
      <c r="L1239" s="870"/>
      <c r="M1239" s="870"/>
      <c r="N1239" s="870"/>
      <c r="O1239" s="870"/>
      <c r="P1239" s="870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73"/>
      <c r="E1240" s="677"/>
      <c r="F1240" s="677"/>
      <c r="G1240" s="677"/>
      <c r="H1240" s="872"/>
      <c r="I1240" s="871"/>
      <c r="J1240" s="871"/>
      <c r="K1240" s="870"/>
      <c r="L1240" s="870"/>
      <c r="M1240" s="870"/>
      <c r="N1240" s="870"/>
      <c r="O1240" s="870"/>
      <c r="P1240" s="870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73"/>
      <c r="E1241" s="677"/>
      <c r="F1241" s="677"/>
      <c r="G1241" s="677"/>
      <c r="H1241" s="872"/>
      <c r="I1241" s="871"/>
      <c r="J1241" s="871"/>
      <c r="K1241" s="870"/>
      <c r="L1241" s="870"/>
      <c r="M1241" s="870"/>
      <c r="N1241" s="870"/>
      <c r="O1241" s="870"/>
      <c r="P1241" s="870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73"/>
      <c r="E1242" s="677"/>
      <c r="F1242" s="677"/>
      <c r="G1242" s="677"/>
      <c r="H1242" s="872"/>
      <c r="I1242" s="871"/>
      <c r="J1242" s="871"/>
      <c r="K1242" s="870"/>
      <c r="L1242" s="870"/>
      <c r="M1242" s="870"/>
      <c r="N1242" s="870"/>
      <c r="O1242" s="870"/>
      <c r="P1242" s="870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73"/>
      <c r="E1243" s="677"/>
      <c r="F1243" s="677"/>
      <c r="G1243" s="677"/>
      <c r="H1243" s="872"/>
      <c r="I1243" s="871"/>
      <c r="J1243" s="871"/>
      <c r="K1243" s="870"/>
      <c r="L1243" s="870"/>
      <c r="M1243" s="870"/>
      <c r="N1243" s="870"/>
      <c r="O1243" s="870"/>
      <c r="P1243" s="870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73"/>
      <c r="E1244" s="677"/>
      <c r="F1244" s="677"/>
      <c r="G1244" s="677"/>
      <c r="H1244" s="872"/>
      <c r="I1244" s="871"/>
      <c r="J1244" s="871"/>
      <c r="K1244" s="870"/>
      <c r="L1244" s="870"/>
      <c r="M1244" s="870"/>
      <c r="N1244" s="870"/>
      <c r="O1244" s="870"/>
      <c r="P1244" s="870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73"/>
      <c r="E1245" s="677"/>
      <c r="F1245" s="677"/>
      <c r="G1245" s="677"/>
      <c r="H1245" s="872"/>
      <c r="I1245" s="871"/>
      <c r="J1245" s="871"/>
      <c r="K1245" s="870"/>
      <c r="L1245" s="870"/>
      <c r="M1245" s="870"/>
      <c r="N1245" s="870"/>
      <c r="O1245" s="870"/>
      <c r="P1245" s="870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73"/>
      <c r="E1246" s="677"/>
      <c r="F1246" s="677"/>
      <c r="G1246" s="677"/>
      <c r="H1246" s="872"/>
      <c r="I1246" s="871"/>
      <c r="J1246" s="871"/>
      <c r="K1246" s="870"/>
      <c r="L1246" s="870"/>
      <c r="M1246" s="870"/>
      <c r="N1246" s="870"/>
      <c r="O1246" s="870"/>
      <c r="P1246" s="870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73"/>
      <c r="E1247" s="677"/>
      <c r="F1247" s="677"/>
      <c r="G1247" s="677"/>
      <c r="H1247" s="872"/>
      <c r="I1247" s="871"/>
      <c r="J1247" s="871"/>
      <c r="K1247" s="870"/>
      <c r="L1247" s="870"/>
      <c r="M1247" s="870"/>
      <c r="N1247" s="870"/>
      <c r="O1247" s="870"/>
      <c r="P1247" s="870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73"/>
      <c r="E1248" s="677"/>
      <c r="F1248" s="677"/>
      <c r="G1248" s="677"/>
      <c r="H1248" s="872"/>
      <c r="I1248" s="871"/>
      <c r="J1248" s="871"/>
      <c r="K1248" s="870"/>
      <c r="L1248" s="870"/>
      <c r="M1248" s="870"/>
      <c r="N1248" s="870"/>
      <c r="O1248" s="870"/>
      <c r="P1248" s="870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73"/>
      <c r="E1249" s="677"/>
      <c r="F1249" s="677"/>
      <c r="G1249" s="677"/>
      <c r="H1249" s="872"/>
      <c r="I1249" s="871"/>
      <c r="J1249" s="871"/>
      <c r="K1249" s="870"/>
      <c r="L1249" s="870"/>
      <c r="M1249" s="870"/>
      <c r="N1249" s="870"/>
      <c r="O1249" s="870"/>
      <c r="P1249" s="870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73"/>
      <c r="E1250" s="677"/>
      <c r="F1250" s="677"/>
      <c r="G1250" s="677"/>
      <c r="H1250" s="872"/>
      <c r="I1250" s="871"/>
      <c r="J1250" s="871"/>
      <c r="K1250" s="870"/>
      <c r="L1250" s="870"/>
      <c r="M1250" s="870"/>
      <c r="N1250" s="870"/>
      <c r="O1250" s="870"/>
      <c r="P1250" s="870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73"/>
      <c r="E1251" s="677"/>
      <c r="F1251" s="677"/>
      <c r="G1251" s="677"/>
      <c r="H1251" s="872"/>
      <c r="I1251" s="871"/>
      <c r="J1251" s="871"/>
      <c r="K1251" s="870"/>
      <c r="L1251" s="870"/>
      <c r="M1251" s="870"/>
      <c r="N1251" s="870"/>
      <c r="O1251" s="870"/>
      <c r="P1251" s="870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73"/>
      <c r="E1252" s="677"/>
      <c r="F1252" s="677"/>
      <c r="G1252" s="677"/>
      <c r="H1252" s="872"/>
      <c r="I1252" s="871"/>
      <c r="J1252" s="871"/>
      <c r="K1252" s="870"/>
      <c r="L1252" s="870"/>
      <c r="M1252" s="870"/>
      <c r="N1252" s="870"/>
      <c r="O1252" s="870"/>
      <c r="P1252" s="870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73"/>
      <c r="E1253" s="677"/>
      <c r="F1253" s="677"/>
      <c r="G1253" s="677"/>
      <c r="H1253" s="872"/>
      <c r="I1253" s="871"/>
      <c r="J1253" s="871"/>
      <c r="K1253" s="870"/>
      <c r="L1253" s="870"/>
      <c r="M1253" s="870"/>
      <c r="N1253" s="870"/>
      <c r="O1253" s="870"/>
      <c r="P1253" s="870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73"/>
      <c r="E1254" s="677"/>
      <c r="F1254" s="677"/>
      <c r="G1254" s="677"/>
      <c r="H1254" s="872"/>
      <c r="I1254" s="871"/>
      <c r="J1254" s="871"/>
      <c r="K1254" s="870"/>
      <c r="L1254" s="870"/>
      <c r="M1254" s="870"/>
      <c r="N1254" s="870"/>
      <c r="O1254" s="870"/>
      <c r="P1254" s="870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73"/>
      <c r="E1255" s="677"/>
      <c r="F1255" s="677"/>
      <c r="G1255" s="677"/>
      <c r="H1255" s="872"/>
      <c r="I1255" s="871"/>
      <c r="J1255" s="871"/>
      <c r="K1255" s="870"/>
      <c r="L1255" s="870"/>
      <c r="M1255" s="870"/>
      <c r="N1255" s="870"/>
      <c r="O1255" s="870"/>
      <c r="P1255" s="870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73"/>
      <c r="E1256" s="677"/>
      <c r="F1256" s="677"/>
      <c r="G1256" s="677"/>
      <c r="H1256" s="872"/>
      <c r="I1256" s="871"/>
      <c r="J1256" s="871"/>
      <c r="K1256" s="870"/>
      <c r="L1256" s="870"/>
      <c r="M1256" s="870"/>
      <c r="N1256" s="870"/>
      <c r="O1256" s="870"/>
      <c r="P1256" s="870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73"/>
      <c r="E1257" s="677"/>
      <c r="F1257" s="677"/>
      <c r="G1257" s="677"/>
      <c r="H1257" s="872"/>
      <c r="I1257" s="871"/>
      <c r="J1257" s="871"/>
      <c r="K1257" s="870"/>
      <c r="L1257" s="870"/>
      <c r="M1257" s="870"/>
      <c r="N1257" s="870"/>
      <c r="O1257" s="870"/>
      <c r="P1257" s="870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73"/>
      <c r="E1258" s="677"/>
      <c r="F1258" s="677"/>
      <c r="G1258" s="677"/>
      <c r="H1258" s="872"/>
      <c r="I1258" s="871"/>
      <c r="J1258" s="871"/>
      <c r="K1258" s="870"/>
      <c r="L1258" s="870"/>
      <c r="M1258" s="870"/>
      <c r="N1258" s="870"/>
      <c r="O1258" s="870"/>
      <c r="P1258" s="870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73"/>
      <c r="E1259" s="677"/>
      <c r="F1259" s="677"/>
      <c r="G1259" s="677"/>
      <c r="H1259" s="872"/>
      <c r="I1259" s="871"/>
      <c r="J1259" s="871"/>
      <c r="K1259" s="870"/>
      <c r="L1259" s="870"/>
      <c r="M1259" s="870"/>
      <c r="N1259" s="870"/>
      <c r="O1259" s="870"/>
      <c r="P1259" s="870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73"/>
      <c r="E1260" s="677"/>
      <c r="F1260" s="677"/>
      <c r="G1260" s="677"/>
      <c r="H1260" s="872"/>
      <c r="I1260" s="871"/>
      <c r="J1260" s="871"/>
      <c r="K1260" s="870"/>
      <c r="L1260" s="870"/>
      <c r="M1260" s="870"/>
      <c r="N1260" s="870"/>
      <c r="O1260" s="870"/>
      <c r="P1260" s="870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73"/>
      <c r="E1261" s="677"/>
      <c r="F1261" s="677"/>
      <c r="G1261" s="677"/>
      <c r="H1261" s="872"/>
      <c r="I1261" s="871"/>
      <c r="J1261" s="871"/>
      <c r="K1261" s="870"/>
      <c r="L1261" s="870"/>
      <c r="M1261" s="870"/>
      <c r="N1261" s="870"/>
      <c r="O1261" s="870"/>
      <c r="P1261" s="870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73"/>
      <c r="E1262" s="677"/>
      <c r="F1262" s="677"/>
      <c r="G1262" s="677"/>
      <c r="H1262" s="872"/>
      <c r="I1262" s="871"/>
      <c r="J1262" s="871"/>
      <c r="K1262" s="870"/>
      <c r="L1262" s="870"/>
      <c r="M1262" s="870"/>
      <c r="N1262" s="870"/>
      <c r="O1262" s="870"/>
      <c r="P1262" s="870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73"/>
      <c r="E1263" s="677"/>
      <c r="F1263" s="677"/>
      <c r="G1263" s="677"/>
      <c r="H1263" s="872"/>
      <c r="I1263" s="871"/>
      <c r="J1263" s="871"/>
      <c r="K1263" s="870"/>
      <c r="L1263" s="870"/>
      <c r="M1263" s="870"/>
      <c r="N1263" s="870"/>
      <c r="O1263" s="870"/>
      <c r="P1263" s="870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73"/>
      <c r="E1264" s="677"/>
      <c r="F1264" s="677"/>
      <c r="G1264" s="677"/>
      <c r="H1264" s="872"/>
      <c r="I1264" s="871"/>
      <c r="J1264" s="871"/>
      <c r="K1264" s="870"/>
      <c r="L1264" s="870"/>
      <c r="M1264" s="870"/>
      <c r="N1264" s="870"/>
      <c r="O1264" s="870"/>
      <c r="P1264" s="870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73"/>
      <c r="E1265" s="677"/>
      <c r="F1265" s="677"/>
      <c r="G1265" s="677"/>
      <c r="H1265" s="872"/>
      <c r="I1265" s="871"/>
      <c r="J1265" s="871"/>
      <c r="K1265" s="870"/>
      <c r="L1265" s="870"/>
      <c r="M1265" s="870"/>
      <c r="N1265" s="870"/>
      <c r="O1265" s="870"/>
      <c r="P1265" s="870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73"/>
      <c r="E1266" s="677"/>
      <c r="F1266" s="677"/>
      <c r="G1266" s="677"/>
      <c r="H1266" s="872"/>
      <c r="I1266" s="871"/>
      <c r="J1266" s="871"/>
      <c r="K1266" s="870"/>
      <c r="L1266" s="870"/>
      <c r="M1266" s="870"/>
      <c r="N1266" s="870"/>
      <c r="O1266" s="870"/>
      <c r="P1266" s="870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73"/>
      <c r="E1267" s="677"/>
      <c r="F1267" s="677"/>
      <c r="G1267" s="677"/>
      <c r="H1267" s="872"/>
      <c r="I1267" s="871"/>
      <c r="J1267" s="871"/>
      <c r="K1267" s="870"/>
      <c r="L1267" s="870"/>
      <c r="M1267" s="870"/>
      <c r="N1267" s="870"/>
      <c r="O1267" s="870"/>
      <c r="P1267" s="870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73"/>
      <c r="E1268" s="677"/>
      <c r="F1268" s="677"/>
      <c r="G1268" s="677"/>
      <c r="H1268" s="872"/>
      <c r="I1268" s="871"/>
      <c r="J1268" s="871"/>
      <c r="K1268" s="870"/>
      <c r="L1268" s="870"/>
      <c r="M1268" s="870"/>
      <c r="N1268" s="870"/>
      <c r="O1268" s="870"/>
      <c r="P1268" s="870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73"/>
      <c r="E1269" s="677"/>
      <c r="F1269" s="677"/>
      <c r="G1269" s="677"/>
      <c r="H1269" s="872"/>
      <c r="I1269" s="871"/>
      <c r="J1269" s="871"/>
      <c r="K1269" s="870"/>
      <c r="L1269" s="870"/>
      <c r="M1269" s="870"/>
      <c r="N1269" s="870"/>
      <c r="O1269" s="870"/>
      <c r="P1269" s="870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73"/>
      <c r="E1270" s="677"/>
      <c r="F1270" s="677"/>
      <c r="G1270" s="677"/>
      <c r="H1270" s="872"/>
      <c r="I1270" s="871"/>
      <c r="J1270" s="871"/>
      <c r="K1270" s="870"/>
      <c r="L1270" s="870"/>
      <c r="M1270" s="870"/>
      <c r="N1270" s="870"/>
      <c r="O1270" s="870"/>
      <c r="P1270" s="870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73"/>
      <c r="E1271" s="677"/>
      <c r="F1271" s="677"/>
      <c r="G1271" s="677"/>
      <c r="H1271" s="872"/>
      <c r="I1271" s="871"/>
      <c r="J1271" s="871"/>
      <c r="K1271" s="870"/>
      <c r="L1271" s="870"/>
      <c r="M1271" s="870"/>
      <c r="N1271" s="870"/>
      <c r="O1271" s="870"/>
      <c r="P1271" s="870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73"/>
      <c r="E1272" s="677"/>
      <c r="F1272" s="677"/>
      <c r="G1272" s="677"/>
      <c r="H1272" s="872"/>
      <c r="I1272" s="871"/>
      <c r="J1272" s="871"/>
      <c r="K1272" s="870"/>
      <c r="L1272" s="870"/>
      <c r="M1272" s="870"/>
      <c r="N1272" s="870"/>
      <c r="O1272" s="870"/>
      <c r="P1272" s="870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73"/>
      <c r="E1273" s="677"/>
      <c r="F1273" s="677"/>
      <c r="G1273" s="677"/>
      <c r="H1273" s="872"/>
      <c r="I1273" s="871"/>
      <c r="J1273" s="871"/>
      <c r="K1273" s="870"/>
      <c r="L1273" s="870"/>
      <c r="M1273" s="870"/>
      <c r="N1273" s="870"/>
      <c r="O1273" s="870"/>
      <c r="P1273" s="870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73"/>
      <c r="E1274" s="677"/>
      <c r="F1274" s="677"/>
      <c r="G1274" s="677"/>
      <c r="H1274" s="872"/>
      <c r="I1274" s="871"/>
      <c r="J1274" s="871"/>
      <c r="K1274" s="870"/>
      <c r="L1274" s="870"/>
      <c r="M1274" s="870"/>
      <c r="N1274" s="870"/>
      <c r="O1274" s="870"/>
      <c r="P1274" s="870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73"/>
      <c r="E1275" s="677"/>
      <c r="F1275" s="677"/>
      <c r="G1275" s="677"/>
      <c r="H1275" s="872"/>
      <c r="I1275" s="871"/>
      <c r="J1275" s="871"/>
      <c r="K1275" s="870"/>
      <c r="L1275" s="870"/>
      <c r="M1275" s="870"/>
      <c r="N1275" s="870"/>
      <c r="O1275" s="870"/>
      <c r="P1275" s="870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73"/>
      <c r="E1276" s="677"/>
      <c r="F1276" s="677"/>
      <c r="G1276" s="677"/>
      <c r="H1276" s="872"/>
      <c r="I1276" s="871"/>
      <c r="J1276" s="871"/>
      <c r="K1276" s="870"/>
      <c r="L1276" s="870"/>
      <c r="M1276" s="870"/>
      <c r="N1276" s="870"/>
      <c r="O1276" s="870"/>
      <c r="P1276" s="870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73"/>
      <c r="E1277" s="677"/>
      <c r="F1277" s="677"/>
      <c r="G1277" s="677"/>
      <c r="H1277" s="872"/>
      <c r="I1277" s="871"/>
      <c r="J1277" s="871"/>
      <c r="K1277" s="870"/>
      <c r="L1277" s="870"/>
      <c r="M1277" s="870"/>
      <c r="N1277" s="870"/>
      <c r="O1277" s="870"/>
      <c r="P1277" s="870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73"/>
      <c r="E1278" s="677"/>
      <c r="F1278" s="677"/>
      <c r="G1278" s="677"/>
      <c r="H1278" s="872"/>
      <c r="I1278" s="871"/>
      <c r="J1278" s="871"/>
      <c r="K1278" s="870"/>
      <c r="L1278" s="870"/>
      <c r="M1278" s="870"/>
      <c r="N1278" s="870"/>
      <c r="O1278" s="870"/>
      <c r="P1278" s="870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73"/>
      <c r="E1279" s="677"/>
      <c r="F1279" s="677"/>
      <c r="G1279" s="677"/>
      <c r="H1279" s="872"/>
      <c r="I1279" s="871"/>
      <c r="J1279" s="871"/>
      <c r="K1279" s="870"/>
      <c r="L1279" s="870"/>
      <c r="M1279" s="870"/>
      <c r="N1279" s="870"/>
      <c r="O1279" s="870"/>
      <c r="P1279" s="870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73"/>
      <c r="E1280" s="677"/>
      <c r="F1280" s="677"/>
      <c r="G1280" s="677"/>
      <c r="H1280" s="872"/>
      <c r="I1280" s="871"/>
      <c r="J1280" s="871"/>
      <c r="K1280" s="870"/>
      <c r="L1280" s="870"/>
      <c r="M1280" s="870"/>
      <c r="N1280" s="870"/>
      <c r="O1280" s="870"/>
      <c r="P1280" s="870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73"/>
      <c r="E1281" s="677"/>
      <c r="F1281" s="677"/>
      <c r="G1281" s="677"/>
      <c r="H1281" s="872"/>
      <c r="I1281" s="871"/>
      <c r="J1281" s="871"/>
      <c r="K1281" s="870"/>
      <c r="L1281" s="870"/>
      <c r="M1281" s="870"/>
      <c r="N1281" s="870"/>
      <c r="O1281" s="870"/>
      <c r="P1281" s="870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73"/>
      <c r="E1282" s="677"/>
      <c r="F1282" s="677"/>
      <c r="G1282" s="677"/>
      <c r="H1282" s="872"/>
      <c r="I1282" s="871"/>
      <c r="J1282" s="871"/>
      <c r="K1282" s="870"/>
      <c r="L1282" s="870"/>
      <c r="M1282" s="870"/>
      <c r="N1282" s="870"/>
      <c r="O1282" s="870"/>
      <c r="P1282" s="870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73"/>
      <c r="E1283" s="677"/>
      <c r="F1283" s="677"/>
      <c r="G1283" s="677"/>
      <c r="H1283" s="872"/>
      <c r="I1283" s="871"/>
      <c r="J1283" s="871"/>
      <c r="K1283" s="870"/>
      <c r="L1283" s="870"/>
      <c r="M1283" s="870"/>
      <c r="N1283" s="870"/>
      <c r="O1283" s="870"/>
      <c r="P1283" s="870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73"/>
      <c r="E1284" s="677"/>
      <c r="F1284" s="677"/>
      <c r="G1284" s="677"/>
      <c r="H1284" s="872"/>
      <c r="I1284" s="871"/>
      <c r="J1284" s="871"/>
      <c r="K1284" s="870"/>
      <c r="L1284" s="870"/>
      <c r="M1284" s="870"/>
      <c r="N1284" s="870"/>
      <c r="O1284" s="870"/>
      <c r="P1284" s="870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73"/>
      <c r="E1285" s="677"/>
      <c r="F1285" s="677"/>
      <c r="G1285" s="677"/>
      <c r="H1285" s="872"/>
      <c r="I1285" s="871"/>
      <c r="J1285" s="871"/>
      <c r="K1285" s="870"/>
      <c r="L1285" s="870"/>
      <c r="M1285" s="870"/>
      <c r="N1285" s="870"/>
      <c r="O1285" s="870"/>
      <c r="P1285" s="870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73"/>
      <c r="E1286" s="677"/>
      <c r="F1286" s="677"/>
      <c r="G1286" s="677"/>
      <c r="H1286" s="872"/>
      <c r="I1286" s="871"/>
      <c r="J1286" s="871"/>
      <c r="K1286" s="870"/>
      <c r="L1286" s="870"/>
      <c r="M1286" s="870"/>
      <c r="N1286" s="870"/>
      <c r="O1286" s="870"/>
      <c r="P1286" s="870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73"/>
      <c r="E1287" s="677"/>
      <c r="F1287" s="677"/>
      <c r="G1287" s="677"/>
      <c r="H1287" s="872"/>
      <c r="I1287" s="871"/>
      <c r="J1287" s="871"/>
      <c r="K1287" s="870"/>
      <c r="L1287" s="870"/>
      <c r="M1287" s="870"/>
      <c r="N1287" s="870"/>
      <c r="O1287" s="870"/>
      <c r="P1287" s="870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73"/>
      <c r="E1288" s="677"/>
      <c r="F1288" s="677"/>
      <c r="G1288" s="677"/>
      <c r="H1288" s="872"/>
      <c r="I1288" s="871"/>
      <c r="J1288" s="871"/>
      <c r="K1288" s="870"/>
      <c r="L1288" s="870"/>
      <c r="M1288" s="870"/>
      <c r="N1288" s="870"/>
      <c r="O1288" s="870"/>
      <c r="P1288" s="870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73"/>
      <c r="E1289" s="677"/>
      <c r="F1289" s="677"/>
      <c r="G1289" s="677"/>
      <c r="H1289" s="872"/>
      <c r="I1289" s="871"/>
      <c r="J1289" s="871"/>
      <c r="K1289" s="870"/>
      <c r="L1289" s="870"/>
      <c r="M1289" s="870"/>
      <c r="N1289" s="870"/>
      <c r="O1289" s="870"/>
      <c r="P1289" s="870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73"/>
      <c r="E1290" s="677"/>
      <c r="F1290" s="677"/>
      <c r="G1290" s="677"/>
      <c r="H1290" s="872"/>
      <c r="I1290" s="871"/>
      <c r="J1290" s="871"/>
      <c r="K1290" s="870"/>
      <c r="L1290" s="870"/>
      <c r="M1290" s="870"/>
      <c r="N1290" s="870"/>
      <c r="O1290" s="870"/>
      <c r="P1290" s="870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73"/>
      <c r="E1291" s="677"/>
      <c r="F1291" s="677"/>
      <c r="G1291" s="677"/>
      <c r="H1291" s="872"/>
      <c r="I1291" s="871"/>
      <c r="J1291" s="871"/>
      <c r="K1291" s="870"/>
      <c r="L1291" s="870"/>
      <c r="M1291" s="870"/>
      <c r="N1291" s="870"/>
      <c r="O1291" s="870"/>
      <c r="P1291" s="870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73"/>
      <c r="E1292" s="677"/>
      <c r="F1292" s="677"/>
      <c r="G1292" s="677"/>
      <c r="H1292" s="872"/>
      <c r="I1292" s="871"/>
      <c r="J1292" s="871"/>
      <c r="K1292" s="870"/>
      <c r="L1292" s="870"/>
      <c r="M1292" s="870"/>
      <c r="N1292" s="870"/>
      <c r="O1292" s="870"/>
      <c r="P1292" s="870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73"/>
      <c r="E1293" s="677"/>
      <c r="F1293" s="677"/>
      <c r="G1293" s="677"/>
      <c r="H1293" s="872"/>
      <c r="I1293" s="871"/>
      <c r="J1293" s="871"/>
      <c r="K1293" s="870"/>
      <c r="L1293" s="870"/>
      <c r="M1293" s="870"/>
      <c r="N1293" s="870"/>
      <c r="O1293" s="870"/>
      <c r="P1293" s="870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73"/>
      <c r="E1294" s="677"/>
      <c r="F1294" s="677"/>
      <c r="G1294" s="677"/>
      <c r="H1294" s="872"/>
      <c r="I1294" s="871"/>
      <c r="J1294" s="871"/>
      <c r="K1294" s="870"/>
      <c r="L1294" s="870"/>
      <c r="M1294" s="870"/>
      <c r="N1294" s="870"/>
      <c r="O1294" s="870"/>
      <c r="P1294" s="870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73"/>
      <c r="E1295" s="677"/>
      <c r="F1295" s="677"/>
      <c r="G1295" s="677"/>
      <c r="H1295" s="872"/>
      <c r="I1295" s="871"/>
      <c r="J1295" s="871"/>
      <c r="K1295" s="870"/>
      <c r="L1295" s="870"/>
      <c r="M1295" s="870"/>
      <c r="N1295" s="870"/>
      <c r="O1295" s="870"/>
      <c r="P1295" s="870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73"/>
      <c r="E1296" s="677"/>
      <c r="F1296" s="677"/>
      <c r="G1296" s="677"/>
      <c r="H1296" s="872"/>
      <c r="I1296" s="871"/>
      <c r="J1296" s="871"/>
      <c r="K1296" s="870"/>
      <c r="L1296" s="870"/>
      <c r="M1296" s="870"/>
      <c r="N1296" s="870"/>
      <c r="O1296" s="870"/>
      <c r="P1296" s="870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73"/>
      <c r="E1297" s="677"/>
      <c r="F1297" s="677"/>
      <c r="G1297" s="677"/>
      <c r="H1297" s="872"/>
      <c r="I1297" s="871"/>
      <c r="J1297" s="871"/>
      <c r="K1297" s="870"/>
      <c r="L1297" s="870"/>
      <c r="M1297" s="870"/>
      <c r="N1297" s="870"/>
      <c r="O1297" s="870"/>
      <c r="P1297" s="870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73"/>
      <c r="E1298" s="677"/>
      <c r="F1298" s="677"/>
      <c r="G1298" s="677"/>
      <c r="H1298" s="872"/>
      <c r="I1298" s="871"/>
      <c r="J1298" s="871"/>
      <c r="K1298" s="870"/>
      <c r="L1298" s="870"/>
      <c r="M1298" s="870"/>
      <c r="N1298" s="870"/>
      <c r="O1298" s="870"/>
      <c r="P1298" s="870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73"/>
      <c r="E1299" s="677"/>
      <c r="F1299" s="677"/>
      <c r="G1299" s="677"/>
      <c r="H1299" s="872"/>
      <c r="I1299" s="871"/>
      <c r="J1299" s="871"/>
      <c r="K1299" s="870"/>
      <c r="L1299" s="870"/>
      <c r="M1299" s="870"/>
      <c r="N1299" s="870"/>
      <c r="O1299" s="870"/>
      <c r="P1299" s="870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73"/>
      <c r="E1300" s="677"/>
      <c r="F1300" s="677"/>
      <c r="G1300" s="677"/>
      <c r="H1300" s="872"/>
      <c r="I1300" s="871"/>
      <c r="J1300" s="871"/>
      <c r="K1300" s="870"/>
      <c r="L1300" s="870"/>
      <c r="M1300" s="870"/>
      <c r="N1300" s="870"/>
      <c r="O1300" s="870"/>
      <c r="P1300" s="870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73"/>
      <c r="E1301" s="677"/>
      <c r="F1301" s="677"/>
      <c r="G1301" s="677"/>
      <c r="H1301" s="872"/>
      <c r="I1301" s="871"/>
      <c r="J1301" s="871"/>
      <c r="K1301" s="870"/>
      <c r="L1301" s="870"/>
      <c r="M1301" s="870"/>
      <c r="N1301" s="870"/>
      <c r="O1301" s="870"/>
      <c r="P1301" s="870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73"/>
      <c r="E1302" s="677"/>
      <c r="F1302" s="677"/>
      <c r="G1302" s="677"/>
      <c r="H1302" s="872"/>
      <c r="I1302" s="871"/>
      <c r="J1302" s="871"/>
      <c r="K1302" s="870"/>
      <c r="L1302" s="870"/>
      <c r="M1302" s="870"/>
      <c r="N1302" s="870"/>
      <c r="O1302" s="870"/>
      <c r="P1302" s="870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73"/>
      <c r="E1303" s="677"/>
      <c r="F1303" s="677"/>
      <c r="G1303" s="677"/>
      <c r="H1303" s="872"/>
      <c r="I1303" s="871"/>
      <c r="J1303" s="871"/>
      <c r="K1303" s="870"/>
      <c r="L1303" s="870"/>
      <c r="M1303" s="870"/>
      <c r="N1303" s="870"/>
      <c r="O1303" s="870"/>
      <c r="P1303" s="870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73"/>
      <c r="E1304" s="677"/>
      <c r="F1304" s="677"/>
      <c r="G1304" s="677"/>
      <c r="H1304" s="872"/>
      <c r="I1304" s="871"/>
      <c r="J1304" s="871"/>
      <c r="K1304" s="870"/>
      <c r="L1304" s="870"/>
      <c r="M1304" s="870"/>
      <c r="N1304" s="870"/>
      <c r="O1304" s="870"/>
      <c r="P1304" s="870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73"/>
      <c r="E1305" s="677"/>
      <c r="F1305" s="677"/>
      <c r="G1305" s="677"/>
      <c r="H1305" s="872"/>
      <c r="I1305" s="871"/>
      <c r="J1305" s="871"/>
      <c r="K1305" s="870"/>
      <c r="L1305" s="870"/>
      <c r="M1305" s="870"/>
      <c r="N1305" s="870"/>
      <c r="O1305" s="870"/>
      <c r="P1305" s="870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73"/>
      <c r="E1306" s="677"/>
      <c r="F1306" s="677"/>
      <c r="G1306" s="677"/>
      <c r="H1306" s="872"/>
      <c r="I1306" s="871"/>
      <c r="J1306" s="871"/>
      <c r="K1306" s="870"/>
      <c r="L1306" s="870"/>
      <c r="M1306" s="870"/>
      <c r="N1306" s="870"/>
      <c r="O1306" s="870"/>
      <c r="P1306" s="870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73"/>
      <c r="E1307" s="677"/>
      <c r="F1307" s="677"/>
      <c r="G1307" s="677"/>
      <c r="H1307" s="872"/>
      <c r="I1307" s="871"/>
      <c r="J1307" s="871"/>
      <c r="K1307" s="870"/>
      <c r="L1307" s="870"/>
      <c r="M1307" s="870"/>
      <c r="N1307" s="870"/>
      <c r="O1307" s="870"/>
      <c r="P1307" s="870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73"/>
      <c r="E1308" s="677"/>
      <c r="F1308" s="677"/>
      <c r="G1308" s="677"/>
      <c r="H1308" s="872"/>
      <c r="I1308" s="871"/>
      <c r="J1308" s="871"/>
      <c r="K1308" s="870"/>
      <c r="L1308" s="870"/>
      <c r="M1308" s="870"/>
      <c r="N1308" s="870"/>
      <c r="O1308" s="870"/>
      <c r="P1308" s="870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73"/>
      <c r="E1309" s="677"/>
      <c r="F1309" s="677"/>
      <c r="G1309" s="677"/>
      <c r="H1309" s="872"/>
      <c r="I1309" s="871"/>
      <c r="J1309" s="871"/>
      <c r="K1309" s="870"/>
      <c r="L1309" s="870"/>
      <c r="M1309" s="870"/>
      <c r="N1309" s="870"/>
      <c r="O1309" s="870"/>
      <c r="P1309" s="870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73"/>
      <c r="E1310" s="677"/>
      <c r="F1310" s="677"/>
      <c r="G1310" s="677"/>
      <c r="H1310" s="872"/>
      <c r="I1310" s="871"/>
      <c r="J1310" s="871"/>
      <c r="K1310" s="870"/>
      <c r="L1310" s="870"/>
      <c r="M1310" s="870"/>
      <c r="N1310" s="870"/>
      <c r="O1310" s="870"/>
      <c r="P1310" s="870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73"/>
      <c r="E1311" s="677"/>
      <c r="F1311" s="677"/>
      <c r="G1311" s="677"/>
      <c r="H1311" s="872"/>
      <c r="I1311" s="871"/>
      <c r="J1311" s="871"/>
      <c r="K1311" s="870"/>
      <c r="L1311" s="870"/>
      <c r="M1311" s="870"/>
      <c r="N1311" s="870"/>
      <c r="O1311" s="870"/>
      <c r="P1311" s="870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73"/>
      <c r="E1312" s="677"/>
      <c r="F1312" s="677"/>
      <c r="G1312" s="677"/>
      <c r="H1312" s="872"/>
      <c r="I1312" s="871"/>
      <c r="J1312" s="871"/>
      <c r="K1312" s="870"/>
      <c r="L1312" s="870"/>
      <c r="M1312" s="870"/>
      <c r="N1312" s="870"/>
      <c r="O1312" s="870"/>
      <c r="P1312" s="870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73"/>
      <c r="E1313" s="677"/>
      <c r="F1313" s="677"/>
      <c r="G1313" s="677"/>
      <c r="H1313" s="872"/>
      <c r="I1313" s="871"/>
      <c r="J1313" s="871"/>
      <c r="K1313" s="870"/>
      <c r="L1313" s="870"/>
      <c r="M1313" s="870"/>
      <c r="N1313" s="870"/>
      <c r="O1313" s="870"/>
      <c r="P1313" s="870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73"/>
      <c r="E1314" s="677"/>
      <c r="F1314" s="677"/>
      <c r="G1314" s="677"/>
      <c r="H1314" s="872"/>
      <c r="I1314" s="871"/>
      <c r="J1314" s="871"/>
      <c r="K1314" s="870"/>
      <c r="L1314" s="870"/>
      <c r="M1314" s="870"/>
      <c r="N1314" s="870"/>
      <c r="O1314" s="870"/>
      <c r="P1314" s="870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73"/>
      <c r="E1315" s="677"/>
      <c r="F1315" s="677"/>
      <c r="G1315" s="677"/>
      <c r="H1315" s="872"/>
      <c r="I1315" s="871"/>
      <c r="J1315" s="871"/>
      <c r="K1315" s="870"/>
      <c r="L1315" s="870"/>
      <c r="M1315" s="870"/>
      <c r="N1315" s="870"/>
      <c r="O1315" s="870"/>
      <c r="P1315" s="870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73"/>
      <c r="E1316" s="677"/>
      <c r="F1316" s="677"/>
      <c r="G1316" s="677"/>
      <c r="H1316" s="872"/>
      <c r="I1316" s="871"/>
      <c r="J1316" s="871"/>
      <c r="K1316" s="870"/>
      <c r="L1316" s="870"/>
      <c r="M1316" s="870"/>
      <c r="N1316" s="870"/>
      <c r="O1316" s="870"/>
      <c r="P1316" s="870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73"/>
      <c r="E1317" s="677"/>
      <c r="F1317" s="677"/>
      <c r="G1317" s="677"/>
      <c r="H1317" s="872"/>
      <c r="I1317" s="871"/>
      <c r="J1317" s="871"/>
      <c r="K1317" s="870"/>
      <c r="L1317" s="870"/>
      <c r="M1317" s="870"/>
      <c r="N1317" s="870"/>
      <c r="O1317" s="870"/>
      <c r="P1317" s="870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73"/>
      <c r="E1318" s="677"/>
      <c r="F1318" s="677"/>
      <c r="G1318" s="677"/>
      <c r="H1318" s="872"/>
      <c r="I1318" s="871"/>
      <c r="J1318" s="871"/>
      <c r="K1318" s="870"/>
      <c r="L1318" s="870"/>
      <c r="M1318" s="870"/>
      <c r="N1318" s="870"/>
      <c r="O1318" s="870"/>
      <c r="P1318" s="870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73"/>
      <c r="E1319" s="677"/>
      <c r="F1319" s="677"/>
      <c r="G1319" s="677"/>
      <c r="H1319" s="872"/>
      <c r="I1319" s="871"/>
      <c r="J1319" s="871"/>
      <c r="K1319" s="870"/>
      <c r="L1319" s="870"/>
      <c r="M1319" s="870"/>
      <c r="N1319" s="870"/>
      <c r="O1319" s="870"/>
      <c r="P1319" s="870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73"/>
      <c r="E1320" s="677"/>
      <c r="F1320" s="677"/>
      <c r="G1320" s="677"/>
      <c r="H1320" s="872"/>
      <c r="I1320" s="871"/>
      <c r="J1320" s="871"/>
      <c r="K1320" s="870"/>
      <c r="L1320" s="870"/>
      <c r="M1320" s="870"/>
      <c r="N1320" s="870"/>
      <c r="O1320" s="870"/>
      <c r="P1320" s="870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73"/>
      <c r="E1321" s="677"/>
      <c r="F1321" s="677"/>
      <c r="G1321" s="677"/>
      <c r="H1321" s="872"/>
      <c r="I1321" s="871"/>
      <c r="J1321" s="871"/>
      <c r="K1321" s="870"/>
      <c r="L1321" s="870"/>
      <c r="M1321" s="870"/>
      <c r="N1321" s="870"/>
      <c r="O1321" s="870"/>
      <c r="P1321" s="870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73"/>
      <c r="E1322" s="677"/>
      <c r="F1322" s="677"/>
      <c r="G1322" s="677"/>
      <c r="H1322" s="872"/>
      <c r="I1322" s="871"/>
      <c r="J1322" s="871"/>
      <c r="K1322" s="870"/>
      <c r="L1322" s="870"/>
      <c r="M1322" s="870"/>
      <c r="N1322" s="870"/>
      <c r="O1322" s="870"/>
      <c r="P1322" s="870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73"/>
      <c r="E1323" s="677"/>
      <c r="F1323" s="677"/>
      <c r="G1323" s="677"/>
      <c r="H1323" s="872"/>
      <c r="I1323" s="871"/>
      <c r="J1323" s="871"/>
      <c r="K1323" s="870"/>
      <c r="L1323" s="870"/>
      <c r="M1323" s="870"/>
      <c r="N1323" s="870"/>
      <c r="O1323" s="870"/>
      <c r="P1323" s="870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73"/>
      <c r="E1324" s="677"/>
      <c r="F1324" s="677"/>
      <c r="G1324" s="677"/>
      <c r="H1324" s="872"/>
      <c r="I1324" s="871"/>
      <c r="J1324" s="871"/>
      <c r="K1324" s="870"/>
      <c r="L1324" s="870"/>
      <c r="M1324" s="870"/>
      <c r="N1324" s="870"/>
      <c r="O1324" s="870"/>
      <c r="P1324" s="870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73"/>
      <c r="E1325" s="677"/>
      <c r="F1325" s="677"/>
      <c r="G1325" s="677"/>
      <c r="H1325" s="872"/>
      <c r="I1325" s="871"/>
      <c r="J1325" s="871"/>
      <c r="K1325" s="870"/>
      <c r="L1325" s="870"/>
      <c r="M1325" s="870"/>
      <c r="N1325" s="870"/>
      <c r="O1325" s="870"/>
      <c r="P1325" s="870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73"/>
      <c r="E1326" s="677"/>
      <c r="F1326" s="677"/>
      <c r="G1326" s="677"/>
      <c r="H1326" s="872"/>
      <c r="I1326" s="871"/>
      <c r="J1326" s="871"/>
      <c r="K1326" s="870"/>
      <c r="L1326" s="870"/>
      <c r="M1326" s="870"/>
      <c r="N1326" s="870"/>
      <c r="O1326" s="870"/>
      <c r="P1326" s="870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73"/>
      <c r="E1327" s="677"/>
      <c r="F1327" s="677"/>
      <c r="G1327" s="677"/>
      <c r="H1327" s="872"/>
      <c r="I1327" s="871"/>
      <c r="J1327" s="871"/>
      <c r="K1327" s="870"/>
      <c r="L1327" s="870"/>
      <c r="M1327" s="870"/>
      <c r="N1327" s="870"/>
      <c r="O1327" s="870"/>
      <c r="P1327" s="870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73"/>
      <c r="E1328" s="677"/>
      <c r="F1328" s="677"/>
      <c r="G1328" s="677"/>
      <c r="H1328" s="872"/>
      <c r="I1328" s="871"/>
      <c r="J1328" s="871"/>
      <c r="K1328" s="870"/>
      <c r="L1328" s="870"/>
      <c r="M1328" s="870"/>
      <c r="N1328" s="870"/>
      <c r="O1328" s="870"/>
      <c r="P1328" s="870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73"/>
      <c r="E1329" s="677"/>
      <c r="F1329" s="677"/>
      <c r="G1329" s="677"/>
      <c r="H1329" s="872"/>
      <c r="I1329" s="871"/>
      <c r="J1329" s="871"/>
      <c r="K1329" s="870"/>
      <c r="L1329" s="870"/>
      <c r="M1329" s="870"/>
      <c r="N1329" s="870"/>
      <c r="O1329" s="870"/>
      <c r="P1329" s="870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73"/>
      <c r="E1330" s="677"/>
      <c r="F1330" s="677"/>
      <c r="G1330" s="677"/>
      <c r="H1330" s="872"/>
      <c r="I1330" s="871"/>
      <c r="J1330" s="871"/>
      <c r="K1330" s="870"/>
      <c r="L1330" s="870"/>
      <c r="M1330" s="870"/>
      <c r="N1330" s="870"/>
      <c r="O1330" s="870"/>
      <c r="P1330" s="870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73"/>
      <c r="E1331" s="677"/>
      <c r="F1331" s="677"/>
      <c r="G1331" s="677"/>
      <c r="H1331" s="872"/>
      <c r="I1331" s="871"/>
      <c r="J1331" s="871"/>
      <c r="K1331" s="870"/>
      <c r="L1331" s="870"/>
      <c r="M1331" s="870"/>
      <c r="N1331" s="870"/>
      <c r="O1331" s="870"/>
      <c r="P1331" s="870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73"/>
      <c r="E1332" s="677"/>
      <c r="F1332" s="677"/>
      <c r="G1332" s="677"/>
      <c r="H1332" s="872"/>
      <c r="I1332" s="871"/>
      <c r="J1332" s="871"/>
      <c r="K1332" s="870"/>
      <c r="L1332" s="870"/>
      <c r="M1332" s="870"/>
      <c r="N1332" s="870"/>
      <c r="O1332" s="870"/>
      <c r="P1332" s="870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73"/>
      <c r="E1333" s="677"/>
      <c r="F1333" s="677"/>
      <c r="G1333" s="677"/>
      <c r="H1333" s="872"/>
      <c r="I1333" s="871"/>
      <c r="J1333" s="871"/>
      <c r="K1333" s="870"/>
      <c r="L1333" s="870"/>
      <c r="M1333" s="870"/>
      <c r="N1333" s="870"/>
      <c r="O1333" s="870"/>
      <c r="P1333" s="870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73"/>
      <c r="E1334" s="677"/>
      <c r="F1334" s="677"/>
      <c r="G1334" s="677"/>
      <c r="H1334" s="872"/>
      <c r="I1334" s="871"/>
      <c r="J1334" s="871"/>
      <c r="K1334" s="870"/>
      <c r="L1334" s="870"/>
      <c r="M1334" s="870"/>
      <c r="N1334" s="870"/>
      <c r="O1334" s="870"/>
      <c r="P1334" s="870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73"/>
      <c r="E1335" s="677"/>
      <c r="F1335" s="677"/>
      <c r="G1335" s="677"/>
      <c r="H1335" s="872"/>
      <c r="I1335" s="871"/>
      <c r="J1335" s="871"/>
      <c r="K1335" s="870"/>
      <c r="L1335" s="870"/>
      <c r="M1335" s="870"/>
      <c r="N1335" s="870"/>
      <c r="O1335" s="870"/>
      <c r="P1335" s="870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73"/>
      <c r="E1336" s="677"/>
      <c r="F1336" s="677"/>
      <c r="G1336" s="677"/>
      <c r="H1336" s="872"/>
      <c r="I1336" s="871"/>
      <c r="J1336" s="871"/>
      <c r="K1336" s="870"/>
      <c r="L1336" s="870"/>
      <c r="M1336" s="870"/>
      <c r="N1336" s="870"/>
      <c r="O1336" s="870"/>
      <c r="P1336" s="870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73"/>
      <c r="E1337" s="677"/>
      <c r="F1337" s="677"/>
      <c r="G1337" s="677"/>
      <c r="H1337" s="872"/>
      <c r="I1337" s="871"/>
      <c r="J1337" s="871"/>
      <c r="K1337" s="870"/>
      <c r="L1337" s="870"/>
      <c r="M1337" s="870"/>
      <c r="N1337" s="870"/>
      <c r="O1337" s="870"/>
      <c r="P1337" s="870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73"/>
      <c r="E1338" s="677"/>
      <c r="F1338" s="677"/>
      <c r="G1338" s="677"/>
      <c r="H1338" s="872"/>
      <c r="I1338" s="871"/>
      <c r="J1338" s="871"/>
      <c r="K1338" s="870"/>
      <c r="L1338" s="870"/>
      <c r="M1338" s="870"/>
      <c r="N1338" s="870"/>
      <c r="O1338" s="870"/>
      <c r="P1338" s="870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73"/>
      <c r="E1339" s="677"/>
      <c r="F1339" s="677"/>
      <c r="G1339" s="677"/>
      <c r="H1339" s="872"/>
      <c r="I1339" s="871"/>
      <c r="J1339" s="871"/>
      <c r="K1339" s="870"/>
      <c r="L1339" s="870"/>
      <c r="M1339" s="870"/>
      <c r="N1339" s="870"/>
      <c r="O1339" s="870"/>
      <c r="P1339" s="870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73"/>
      <c r="E1340" s="677"/>
      <c r="F1340" s="677"/>
      <c r="G1340" s="677"/>
      <c r="H1340" s="872"/>
      <c r="I1340" s="871"/>
      <c r="J1340" s="871"/>
      <c r="K1340" s="870"/>
      <c r="L1340" s="870"/>
      <c r="M1340" s="870"/>
      <c r="N1340" s="870"/>
      <c r="O1340" s="870"/>
      <c r="P1340" s="870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73"/>
      <c r="E1341" s="677"/>
      <c r="F1341" s="677"/>
      <c r="G1341" s="677"/>
      <c r="H1341" s="872"/>
      <c r="I1341" s="871"/>
      <c r="J1341" s="871"/>
      <c r="K1341" s="870"/>
      <c r="L1341" s="870"/>
      <c r="M1341" s="870"/>
      <c r="N1341" s="870"/>
      <c r="O1341" s="870"/>
      <c r="P1341" s="870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73"/>
      <c r="E1342" s="677"/>
      <c r="F1342" s="677"/>
      <c r="G1342" s="677"/>
      <c r="H1342" s="872"/>
      <c r="I1342" s="871"/>
      <c r="J1342" s="871"/>
      <c r="K1342" s="870"/>
      <c r="L1342" s="870"/>
      <c r="M1342" s="870"/>
      <c r="N1342" s="870"/>
      <c r="O1342" s="870"/>
      <c r="P1342" s="870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73"/>
      <c r="E1343" s="677"/>
      <c r="F1343" s="677"/>
      <c r="G1343" s="677"/>
      <c r="H1343" s="872"/>
      <c r="I1343" s="871"/>
      <c r="J1343" s="871"/>
      <c r="K1343" s="870"/>
      <c r="L1343" s="870"/>
      <c r="M1343" s="870"/>
      <c r="N1343" s="870"/>
      <c r="O1343" s="870"/>
      <c r="P1343" s="870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73"/>
      <c r="E1344" s="677"/>
      <c r="F1344" s="677"/>
      <c r="G1344" s="677"/>
      <c r="H1344" s="872"/>
      <c r="I1344" s="871"/>
      <c r="J1344" s="871"/>
      <c r="K1344" s="870"/>
      <c r="L1344" s="870"/>
      <c r="M1344" s="870"/>
      <c r="N1344" s="870"/>
      <c r="O1344" s="870"/>
      <c r="P1344" s="870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73"/>
      <c r="E1345" s="677"/>
      <c r="F1345" s="677"/>
      <c r="G1345" s="677"/>
      <c r="H1345" s="872"/>
      <c r="I1345" s="871"/>
      <c r="J1345" s="871"/>
      <c r="K1345" s="870"/>
      <c r="L1345" s="870"/>
      <c r="M1345" s="870"/>
      <c r="N1345" s="870"/>
      <c r="O1345" s="870"/>
      <c r="P1345" s="870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73"/>
      <c r="E1346" s="677"/>
      <c r="F1346" s="677"/>
      <c r="G1346" s="677"/>
      <c r="H1346" s="872"/>
      <c r="I1346" s="871"/>
      <c r="J1346" s="871"/>
      <c r="K1346" s="870"/>
      <c r="L1346" s="870"/>
      <c r="M1346" s="870"/>
      <c r="N1346" s="870"/>
      <c r="O1346" s="870"/>
      <c r="P1346" s="870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73"/>
      <c r="E1347" s="677"/>
      <c r="F1347" s="677"/>
      <c r="G1347" s="677"/>
      <c r="H1347" s="872"/>
      <c r="I1347" s="871"/>
      <c r="J1347" s="871"/>
      <c r="K1347" s="870"/>
      <c r="L1347" s="870"/>
      <c r="M1347" s="870"/>
      <c r="N1347" s="870"/>
      <c r="O1347" s="870"/>
      <c r="P1347" s="870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73"/>
      <c r="E1348" s="677"/>
      <c r="F1348" s="677"/>
      <c r="G1348" s="677"/>
      <c r="H1348" s="872"/>
      <c r="I1348" s="871"/>
      <c r="J1348" s="871"/>
      <c r="K1348" s="870"/>
      <c r="L1348" s="870"/>
      <c r="M1348" s="870"/>
      <c r="N1348" s="870"/>
      <c r="O1348" s="870"/>
      <c r="P1348" s="870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73"/>
      <c r="E1349" s="677"/>
      <c r="F1349" s="677"/>
      <c r="G1349" s="677"/>
      <c r="H1349" s="872"/>
      <c r="I1349" s="871"/>
      <c r="J1349" s="871"/>
      <c r="K1349" s="870"/>
      <c r="L1349" s="870"/>
      <c r="M1349" s="870"/>
      <c r="N1349" s="870"/>
      <c r="O1349" s="870"/>
      <c r="P1349" s="870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73"/>
      <c r="E1350" s="677"/>
      <c r="F1350" s="677"/>
      <c r="G1350" s="677"/>
      <c r="H1350" s="872"/>
      <c r="I1350" s="871"/>
      <c r="J1350" s="871"/>
      <c r="K1350" s="870"/>
      <c r="L1350" s="870"/>
      <c r="M1350" s="870"/>
      <c r="N1350" s="870"/>
      <c r="O1350" s="870"/>
      <c r="P1350" s="870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73"/>
      <c r="E1351" s="677"/>
      <c r="F1351" s="677"/>
      <c r="G1351" s="677"/>
      <c r="H1351" s="872"/>
      <c r="I1351" s="871"/>
      <c r="J1351" s="871"/>
      <c r="K1351" s="870"/>
      <c r="L1351" s="870"/>
      <c r="M1351" s="870"/>
      <c r="N1351" s="870"/>
      <c r="O1351" s="870"/>
      <c r="P1351" s="870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73"/>
      <c r="E1352" s="677"/>
      <c r="F1352" s="677"/>
      <c r="G1352" s="677"/>
      <c r="H1352" s="872"/>
      <c r="I1352" s="871"/>
      <c r="J1352" s="871"/>
      <c r="K1352" s="870"/>
      <c r="L1352" s="870"/>
      <c r="M1352" s="870"/>
      <c r="N1352" s="870"/>
      <c r="O1352" s="870"/>
      <c r="P1352" s="870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73"/>
      <c r="E1353" s="677"/>
      <c r="F1353" s="677"/>
      <c r="G1353" s="677"/>
      <c r="H1353" s="872"/>
      <c r="I1353" s="871"/>
      <c r="J1353" s="871"/>
      <c r="K1353" s="870"/>
      <c r="L1353" s="870"/>
      <c r="M1353" s="870"/>
      <c r="N1353" s="870"/>
      <c r="O1353" s="870"/>
      <c r="P1353" s="870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73"/>
      <c r="E1354" s="677"/>
      <c r="F1354" s="677"/>
      <c r="G1354" s="677"/>
      <c r="H1354" s="872"/>
      <c r="I1354" s="871"/>
      <c r="J1354" s="871"/>
      <c r="K1354" s="870"/>
      <c r="L1354" s="870"/>
      <c r="M1354" s="870"/>
      <c r="N1354" s="870"/>
      <c r="O1354" s="870"/>
      <c r="P1354" s="870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73"/>
      <c r="E1355" s="677"/>
      <c r="F1355" s="677"/>
      <c r="G1355" s="677"/>
      <c r="H1355" s="872"/>
      <c r="I1355" s="871"/>
      <c r="J1355" s="871"/>
      <c r="K1355" s="870"/>
      <c r="L1355" s="870"/>
      <c r="M1355" s="870"/>
      <c r="N1355" s="870"/>
      <c r="O1355" s="870"/>
      <c r="P1355" s="870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73"/>
      <c r="E1356" s="677"/>
      <c r="F1356" s="677"/>
      <c r="G1356" s="677"/>
      <c r="H1356" s="872"/>
      <c r="I1356" s="871"/>
      <c r="J1356" s="871"/>
      <c r="K1356" s="870"/>
      <c r="L1356" s="870"/>
      <c r="M1356" s="870"/>
      <c r="N1356" s="870"/>
      <c r="O1356" s="870"/>
      <c r="P1356" s="870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73"/>
      <c r="E1357" s="677"/>
      <c r="F1357" s="677"/>
      <c r="G1357" s="677"/>
      <c r="H1357" s="872"/>
      <c r="I1357" s="871"/>
      <c r="J1357" s="871"/>
      <c r="K1357" s="870"/>
      <c r="L1357" s="870"/>
      <c r="M1357" s="870"/>
      <c r="N1357" s="870"/>
      <c r="O1357" s="870"/>
      <c r="P1357" s="870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73"/>
      <c r="E1358" s="677"/>
      <c r="F1358" s="677"/>
      <c r="G1358" s="677"/>
      <c r="H1358" s="872"/>
      <c r="I1358" s="871"/>
      <c r="J1358" s="871"/>
      <c r="K1358" s="870"/>
      <c r="L1358" s="870"/>
      <c r="M1358" s="870"/>
      <c r="N1358" s="870"/>
      <c r="O1358" s="870"/>
      <c r="P1358" s="870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73"/>
      <c r="E1359" s="677"/>
      <c r="F1359" s="677"/>
      <c r="G1359" s="677"/>
      <c r="H1359" s="872"/>
      <c r="I1359" s="871"/>
      <c r="J1359" s="871"/>
      <c r="K1359" s="870"/>
      <c r="L1359" s="870"/>
      <c r="M1359" s="870"/>
      <c r="N1359" s="870"/>
      <c r="O1359" s="870"/>
      <c r="P1359" s="870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73"/>
      <c r="E1360" s="677"/>
      <c r="F1360" s="677"/>
      <c r="G1360" s="677"/>
      <c r="H1360" s="872"/>
      <c r="I1360" s="871"/>
      <c r="J1360" s="871"/>
      <c r="K1360" s="870"/>
      <c r="L1360" s="870"/>
      <c r="M1360" s="870"/>
      <c r="N1360" s="870"/>
      <c r="O1360" s="870"/>
      <c r="P1360" s="870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73"/>
      <c r="E1361" s="677"/>
      <c r="F1361" s="677"/>
      <c r="G1361" s="677"/>
      <c r="H1361" s="872"/>
      <c r="I1361" s="871"/>
      <c r="J1361" s="871"/>
      <c r="K1361" s="870"/>
      <c r="L1361" s="870"/>
      <c r="M1361" s="870"/>
      <c r="N1361" s="870"/>
      <c r="O1361" s="870"/>
      <c r="P1361" s="870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73"/>
      <c r="E1362" s="677"/>
      <c r="F1362" s="677"/>
      <c r="G1362" s="677"/>
      <c r="H1362" s="872"/>
      <c r="I1362" s="871"/>
      <c r="J1362" s="871"/>
      <c r="K1362" s="870"/>
      <c r="L1362" s="870"/>
      <c r="M1362" s="870"/>
      <c r="N1362" s="870"/>
      <c r="O1362" s="870"/>
      <c r="P1362" s="870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73"/>
      <c r="E1363" s="677"/>
      <c r="F1363" s="677"/>
      <c r="G1363" s="677"/>
      <c r="H1363" s="872"/>
      <c r="I1363" s="871"/>
      <c r="J1363" s="871"/>
      <c r="K1363" s="870"/>
      <c r="L1363" s="870"/>
      <c r="M1363" s="870"/>
      <c r="N1363" s="870"/>
      <c r="O1363" s="870"/>
      <c r="P1363" s="870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73"/>
      <c r="E1364" s="677"/>
      <c r="F1364" s="677"/>
      <c r="G1364" s="677"/>
      <c r="H1364" s="872"/>
      <c r="I1364" s="871"/>
      <c r="J1364" s="871"/>
      <c r="K1364" s="870"/>
      <c r="L1364" s="870"/>
      <c r="M1364" s="870"/>
      <c r="N1364" s="870"/>
      <c r="O1364" s="870"/>
      <c r="P1364" s="870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73"/>
      <c r="E1365" s="677"/>
      <c r="F1365" s="677"/>
      <c r="G1365" s="677"/>
      <c r="H1365" s="872"/>
      <c r="I1365" s="871"/>
      <c r="J1365" s="871"/>
      <c r="K1365" s="870"/>
      <c r="L1365" s="870"/>
      <c r="M1365" s="870"/>
      <c r="N1365" s="870"/>
      <c r="O1365" s="870"/>
      <c r="P1365" s="870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73"/>
      <c r="E1366" s="677"/>
      <c r="F1366" s="677"/>
      <c r="G1366" s="677"/>
      <c r="H1366" s="872"/>
      <c r="I1366" s="871"/>
      <c r="J1366" s="871"/>
      <c r="K1366" s="870"/>
      <c r="L1366" s="870"/>
      <c r="M1366" s="870"/>
      <c r="N1366" s="870"/>
      <c r="O1366" s="870"/>
      <c r="P1366" s="870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73"/>
      <c r="E1367" s="677"/>
      <c r="F1367" s="677"/>
      <c r="G1367" s="677"/>
      <c r="H1367" s="872"/>
      <c r="I1367" s="871"/>
      <c r="J1367" s="871"/>
      <c r="K1367" s="870"/>
      <c r="L1367" s="870"/>
      <c r="M1367" s="870"/>
      <c r="N1367" s="870"/>
      <c r="O1367" s="870"/>
      <c r="P1367" s="870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73"/>
      <c r="E1368" s="677"/>
      <c r="F1368" s="677"/>
      <c r="G1368" s="677"/>
      <c r="H1368" s="872"/>
      <c r="I1368" s="871"/>
      <c r="J1368" s="871"/>
      <c r="K1368" s="870"/>
      <c r="L1368" s="870"/>
      <c r="M1368" s="870"/>
      <c r="N1368" s="870"/>
      <c r="O1368" s="870"/>
      <c r="P1368" s="870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73"/>
      <c r="E1369" s="677"/>
      <c r="F1369" s="677"/>
      <c r="G1369" s="677"/>
      <c r="H1369" s="872"/>
      <c r="I1369" s="871"/>
      <c r="J1369" s="871"/>
      <c r="K1369" s="870"/>
      <c r="L1369" s="870"/>
      <c r="M1369" s="870"/>
      <c r="N1369" s="870"/>
      <c r="O1369" s="870"/>
      <c r="P1369" s="870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73"/>
      <c r="E1370" s="677"/>
      <c r="F1370" s="677"/>
      <c r="G1370" s="677"/>
      <c r="H1370" s="872"/>
      <c r="I1370" s="871"/>
      <c r="J1370" s="871"/>
      <c r="K1370" s="870"/>
      <c r="L1370" s="870"/>
      <c r="M1370" s="870"/>
      <c r="N1370" s="870"/>
      <c r="O1370" s="870"/>
      <c r="P1370" s="870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73"/>
      <c r="E1371" s="677"/>
      <c r="F1371" s="677"/>
      <c r="G1371" s="677"/>
      <c r="H1371" s="872"/>
      <c r="I1371" s="871"/>
      <c r="J1371" s="871"/>
      <c r="K1371" s="870"/>
      <c r="L1371" s="870"/>
      <c r="M1371" s="870"/>
      <c r="N1371" s="870"/>
      <c r="O1371" s="870"/>
      <c r="P1371" s="870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73"/>
      <c r="E1372" s="677"/>
      <c r="F1372" s="677"/>
      <c r="G1372" s="677"/>
      <c r="H1372" s="872"/>
      <c r="I1372" s="871"/>
      <c r="J1372" s="871"/>
      <c r="K1372" s="870"/>
      <c r="L1372" s="870"/>
      <c r="M1372" s="870"/>
      <c r="N1372" s="870"/>
      <c r="O1372" s="870"/>
      <c r="P1372" s="870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73"/>
      <c r="E1373" s="677"/>
      <c r="F1373" s="677"/>
      <c r="G1373" s="677"/>
      <c r="H1373" s="872"/>
      <c r="I1373" s="871"/>
      <c r="J1373" s="871"/>
      <c r="K1373" s="870"/>
      <c r="L1373" s="870"/>
      <c r="M1373" s="870"/>
      <c r="N1373" s="870"/>
      <c r="O1373" s="870"/>
      <c r="P1373" s="870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73"/>
      <c r="E1374" s="677"/>
      <c r="F1374" s="677"/>
      <c r="G1374" s="677"/>
      <c r="H1374" s="872"/>
      <c r="I1374" s="871"/>
      <c r="J1374" s="871"/>
      <c r="K1374" s="870"/>
      <c r="L1374" s="870"/>
      <c r="M1374" s="870"/>
      <c r="N1374" s="870"/>
      <c r="O1374" s="870"/>
      <c r="P1374" s="870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73"/>
      <c r="E1375" s="677"/>
      <c r="F1375" s="677"/>
      <c r="G1375" s="677"/>
      <c r="H1375" s="872"/>
      <c r="I1375" s="871"/>
      <c r="J1375" s="871"/>
      <c r="K1375" s="870"/>
      <c r="L1375" s="870"/>
      <c r="M1375" s="870"/>
      <c r="N1375" s="870"/>
      <c r="O1375" s="870"/>
      <c r="P1375" s="870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73"/>
      <c r="E1376" s="677"/>
      <c r="F1376" s="677"/>
      <c r="G1376" s="677"/>
      <c r="H1376" s="872"/>
      <c r="I1376" s="871"/>
      <c r="J1376" s="871"/>
      <c r="K1376" s="870"/>
      <c r="L1376" s="870"/>
      <c r="M1376" s="870"/>
      <c r="N1376" s="870"/>
      <c r="O1376" s="870"/>
      <c r="P1376" s="870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73"/>
      <c r="E1377" s="677"/>
      <c r="F1377" s="677"/>
      <c r="G1377" s="677"/>
      <c r="H1377" s="872"/>
      <c r="I1377" s="871"/>
      <c r="J1377" s="871"/>
      <c r="K1377" s="870"/>
      <c r="L1377" s="870"/>
      <c r="M1377" s="870"/>
      <c r="N1377" s="870"/>
      <c r="O1377" s="870"/>
      <c r="P1377" s="870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73"/>
      <c r="E1378" s="677"/>
      <c r="F1378" s="677"/>
      <c r="G1378" s="677"/>
      <c r="H1378" s="872"/>
      <c r="I1378" s="871"/>
      <c r="J1378" s="871"/>
      <c r="K1378" s="870"/>
      <c r="L1378" s="870"/>
      <c r="M1378" s="870"/>
      <c r="N1378" s="870"/>
      <c r="O1378" s="870"/>
      <c r="P1378" s="870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73"/>
      <c r="E1379" s="677"/>
      <c r="F1379" s="677"/>
      <c r="G1379" s="677"/>
      <c r="H1379" s="872"/>
      <c r="I1379" s="871"/>
      <c r="J1379" s="871"/>
      <c r="K1379" s="870"/>
      <c r="L1379" s="870"/>
      <c r="M1379" s="870"/>
      <c r="N1379" s="870"/>
      <c r="O1379" s="870"/>
      <c r="P1379" s="870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73"/>
      <c r="E1380" s="677"/>
      <c r="F1380" s="677"/>
      <c r="G1380" s="677"/>
      <c r="H1380" s="872"/>
      <c r="I1380" s="871"/>
      <c r="J1380" s="871"/>
      <c r="K1380" s="870"/>
      <c r="L1380" s="870"/>
      <c r="M1380" s="870"/>
      <c r="N1380" s="870"/>
      <c r="O1380" s="870"/>
      <c r="P1380" s="870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73"/>
      <c r="E1381" s="677"/>
      <c r="F1381" s="677"/>
      <c r="G1381" s="677"/>
      <c r="H1381" s="872"/>
      <c r="I1381" s="871"/>
      <c r="J1381" s="871"/>
      <c r="K1381" s="870"/>
      <c r="L1381" s="870"/>
      <c r="M1381" s="870"/>
      <c r="N1381" s="870"/>
      <c r="O1381" s="870"/>
      <c r="P1381" s="870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73"/>
      <c r="E1382" s="677"/>
      <c r="F1382" s="677"/>
      <c r="G1382" s="677"/>
      <c r="H1382" s="872"/>
      <c r="I1382" s="871"/>
      <c r="J1382" s="871"/>
      <c r="K1382" s="870"/>
      <c r="L1382" s="870"/>
      <c r="M1382" s="870"/>
      <c r="N1382" s="870"/>
      <c r="O1382" s="870"/>
      <c r="P1382" s="870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73"/>
      <c r="E1383" s="677"/>
      <c r="F1383" s="677"/>
      <c r="G1383" s="677"/>
      <c r="H1383" s="872"/>
      <c r="I1383" s="871"/>
      <c r="J1383" s="871"/>
      <c r="K1383" s="870"/>
      <c r="L1383" s="870"/>
      <c r="M1383" s="870"/>
      <c r="N1383" s="870"/>
      <c r="O1383" s="870"/>
      <c r="P1383" s="870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73"/>
      <c r="E1384" s="677"/>
      <c r="F1384" s="677"/>
      <c r="G1384" s="677"/>
      <c r="H1384" s="872"/>
      <c r="I1384" s="871"/>
      <c r="J1384" s="871"/>
      <c r="K1384" s="870"/>
      <c r="L1384" s="870"/>
      <c r="M1384" s="870"/>
      <c r="N1384" s="870"/>
      <c r="O1384" s="870"/>
      <c r="P1384" s="870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73"/>
      <c r="E1385" s="677"/>
      <c r="F1385" s="677"/>
      <c r="G1385" s="677"/>
      <c r="H1385" s="872"/>
      <c r="I1385" s="871"/>
      <c r="J1385" s="871"/>
      <c r="K1385" s="870"/>
      <c r="L1385" s="870"/>
      <c r="M1385" s="870"/>
      <c r="N1385" s="870"/>
      <c r="O1385" s="870"/>
      <c r="P1385" s="870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73"/>
      <c r="E1386" s="677"/>
      <c r="F1386" s="677"/>
      <c r="G1386" s="677"/>
      <c r="H1386" s="872"/>
      <c r="I1386" s="871"/>
      <c r="J1386" s="871"/>
      <c r="K1386" s="870"/>
      <c r="L1386" s="870"/>
      <c r="M1386" s="870"/>
      <c r="N1386" s="870"/>
      <c r="O1386" s="870"/>
      <c r="P1386" s="870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73"/>
      <c r="E1387" s="677"/>
      <c r="F1387" s="677"/>
      <c r="G1387" s="677"/>
      <c r="H1387" s="872"/>
      <c r="I1387" s="871"/>
      <c r="J1387" s="871"/>
      <c r="K1387" s="870"/>
      <c r="L1387" s="870"/>
      <c r="M1387" s="870"/>
      <c r="N1387" s="870"/>
      <c r="O1387" s="870"/>
      <c r="P1387" s="870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73"/>
      <c r="E1388" s="677"/>
      <c r="F1388" s="677"/>
      <c r="G1388" s="677"/>
      <c r="H1388" s="872"/>
      <c r="I1388" s="871"/>
      <c r="J1388" s="871"/>
      <c r="K1388" s="870"/>
      <c r="L1388" s="870"/>
      <c r="M1388" s="870"/>
      <c r="N1388" s="870"/>
      <c r="O1388" s="870"/>
      <c r="P1388" s="870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73"/>
      <c r="E1389" s="677"/>
      <c r="F1389" s="677"/>
      <c r="G1389" s="677"/>
      <c r="H1389" s="872"/>
      <c r="I1389" s="871"/>
      <c r="J1389" s="871"/>
      <c r="K1389" s="870"/>
      <c r="L1389" s="870"/>
      <c r="M1389" s="870"/>
      <c r="N1389" s="870"/>
      <c r="O1389" s="870"/>
      <c r="P1389" s="870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73"/>
      <c r="E1390" s="677"/>
      <c r="F1390" s="677"/>
      <c r="G1390" s="677"/>
      <c r="H1390" s="872"/>
      <c r="I1390" s="871"/>
      <c r="J1390" s="871"/>
      <c r="K1390" s="870"/>
      <c r="L1390" s="870"/>
      <c r="M1390" s="870"/>
      <c r="N1390" s="870"/>
      <c r="O1390" s="870"/>
      <c r="P1390" s="870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73"/>
      <c r="E1391" s="677"/>
      <c r="F1391" s="677"/>
      <c r="G1391" s="677"/>
      <c r="H1391" s="872"/>
      <c r="I1391" s="871"/>
      <c r="J1391" s="871"/>
      <c r="K1391" s="870"/>
      <c r="L1391" s="870"/>
      <c r="M1391" s="870"/>
      <c r="N1391" s="870"/>
      <c r="O1391" s="870"/>
      <c r="P1391" s="870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73"/>
      <c r="E1392" s="677"/>
      <c r="F1392" s="677"/>
      <c r="G1392" s="677"/>
      <c r="H1392" s="872"/>
      <c r="I1392" s="871"/>
      <c r="J1392" s="871"/>
      <c r="K1392" s="870"/>
      <c r="L1392" s="870"/>
      <c r="M1392" s="870"/>
      <c r="N1392" s="870"/>
      <c r="O1392" s="870"/>
      <c r="P1392" s="870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73"/>
      <c r="E1393" s="677"/>
      <c r="F1393" s="677"/>
      <c r="G1393" s="677"/>
      <c r="H1393" s="872"/>
      <c r="I1393" s="871"/>
      <c r="J1393" s="871"/>
      <c r="K1393" s="870"/>
      <c r="L1393" s="870"/>
      <c r="M1393" s="870"/>
      <c r="N1393" s="870"/>
      <c r="O1393" s="870"/>
      <c r="P1393" s="870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73"/>
      <c r="E1394" s="677"/>
      <c r="F1394" s="677"/>
      <c r="G1394" s="677"/>
      <c r="H1394" s="872"/>
      <c r="I1394" s="871"/>
      <c r="J1394" s="871"/>
      <c r="K1394" s="870"/>
      <c r="L1394" s="870"/>
      <c r="M1394" s="870"/>
      <c r="N1394" s="870"/>
      <c r="O1394" s="870"/>
      <c r="P1394" s="870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73"/>
      <c r="E1395" s="677"/>
      <c r="F1395" s="677"/>
      <c r="G1395" s="677"/>
      <c r="H1395" s="872"/>
      <c r="I1395" s="871"/>
      <c r="J1395" s="871"/>
      <c r="K1395" s="870"/>
      <c r="L1395" s="870"/>
      <c r="M1395" s="870"/>
      <c r="N1395" s="870"/>
      <c r="O1395" s="870"/>
      <c r="P1395" s="870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73"/>
      <c r="E1396" s="677"/>
      <c r="F1396" s="677"/>
      <c r="G1396" s="677"/>
      <c r="H1396" s="872"/>
      <c r="I1396" s="871"/>
      <c r="J1396" s="871"/>
      <c r="K1396" s="870"/>
      <c r="L1396" s="870"/>
      <c r="M1396" s="870"/>
      <c r="N1396" s="870"/>
      <c r="O1396" s="870"/>
      <c r="P1396" s="870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73"/>
      <c r="E1397" s="677"/>
      <c r="F1397" s="677"/>
      <c r="G1397" s="677"/>
      <c r="H1397" s="872"/>
      <c r="I1397" s="871"/>
      <c r="J1397" s="871"/>
      <c r="K1397" s="870"/>
      <c r="L1397" s="870"/>
      <c r="M1397" s="870"/>
      <c r="N1397" s="870"/>
      <c r="O1397" s="870"/>
      <c r="P1397" s="870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73"/>
      <c r="E1398" s="677"/>
      <c r="F1398" s="677"/>
      <c r="G1398" s="677"/>
      <c r="H1398" s="872"/>
      <c r="I1398" s="871"/>
      <c r="J1398" s="871"/>
      <c r="K1398" s="870"/>
      <c r="L1398" s="870"/>
      <c r="M1398" s="870"/>
      <c r="N1398" s="870"/>
      <c r="O1398" s="870"/>
      <c r="P1398" s="870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73"/>
      <c r="E1399" s="677"/>
      <c r="F1399" s="677"/>
      <c r="G1399" s="677"/>
      <c r="H1399" s="872"/>
      <c r="I1399" s="871"/>
      <c r="J1399" s="871"/>
      <c r="K1399" s="870"/>
      <c r="L1399" s="870"/>
      <c r="M1399" s="870"/>
      <c r="N1399" s="870"/>
      <c r="O1399" s="870"/>
      <c r="P1399" s="870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73"/>
      <c r="E1400" s="677"/>
      <c r="F1400" s="677"/>
      <c r="G1400" s="677"/>
      <c r="H1400" s="872"/>
      <c r="I1400" s="871"/>
      <c r="J1400" s="871"/>
      <c r="K1400" s="870"/>
      <c r="L1400" s="870"/>
      <c r="M1400" s="870"/>
      <c r="N1400" s="870"/>
      <c r="O1400" s="870"/>
      <c r="P1400" s="870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73"/>
      <c r="E1401" s="677"/>
      <c r="F1401" s="677"/>
      <c r="G1401" s="677"/>
      <c r="H1401" s="872"/>
      <c r="I1401" s="871"/>
      <c r="J1401" s="871"/>
      <c r="K1401" s="870"/>
      <c r="L1401" s="870"/>
      <c r="M1401" s="870"/>
      <c r="N1401" s="870"/>
      <c r="O1401" s="870"/>
      <c r="P1401" s="870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73"/>
      <c r="E1402" s="677"/>
      <c r="F1402" s="677"/>
      <c r="G1402" s="677"/>
      <c r="H1402" s="872"/>
      <c r="I1402" s="871"/>
      <c r="J1402" s="871"/>
      <c r="K1402" s="870"/>
      <c r="L1402" s="870"/>
      <c r="M1402" s="870"/>
      <c r="N1402" s="870"/>
      <c r="O1402" s="870"/>
      <c r="P1402" s="870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73"/>
      <c r="E1403" s="677"/>
      <c r="F1403" s="677"/>
      <c r="G1403" s="677"/>
      <c r="H1403" s="872"/>
      <c r="I1403" s="871"/>
      <c r="J1403" s="871"/>
      <c r="K1403" s="870"/>
      <c r="L1403" s="870"/>
      <c r="M1403" s="870"/>
      <c r="N1403" s="870"/>
      <c r="O1403" s="870"/>
      <c r="P1403" s="870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73"/>
      <c r="E1404" s="677"/>
      <c r="F1404" s="677"/>
      <c r="G1404" s="677"/>
      <c r="H1404" s="872"/>
      <c r="I1404" s="871"/>
      <c r="J1404" s="871"/>
      <c r="K1404" s="870"/>
      <c r="L1404" s="870"/>
      <c r="M1404" s="870"/>
      <c r="N1404" s="870"/>
      <c r="O1404" s="870"/>
      <c r="P1404" s="870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73"/>
      <c r="E1405" s="677"/>
      <c r="F1405" s="677"/>
      <c r="G1405" s="677"/>
      <c r="H1405" s="872"/>
      <c r="I1405" s="871"/>
      <c r="J1405" s="871"/>
      <c r="K1405" s="870"/>
      <c r="L1405" s="870"/>
      <c r="M1405" s="870"/>
      <c r="N1405" s="870"/>
      <c r="O1405" s="870"/>
      <c r="P1405" s="870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73"/>
      <c r="E1406" s="677"/>
      <c r="F1406" s="677"/>
      <c r="G1406" s="677"/>
      <c r="H1406" s="872"/>
      <c r="I1406" s="871"/>
      <c r="J1406" s="871"/>
      <c r="K1406" s="870"/>
      <c r="L1406" s="870"/>
      <c r="M1406" s="870"/>
      <c r="N1406" s="870"/>
      <c r="O1406" s="870"/>
      <c r="P1406" s="870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73"/>
      <c r="E1407" s="677"/>
      <c r="F1407" s="677"/>
      <c r="G1407" s="677"/>
      <c r="H1407" s="872"/>
      <c r="I1407" s="871"/>
      <c r="J1407" s="871"/>
      <c r="K1407" s="870"/>
      <c r="L1407" s="870"/>
      <c r="M1407" s="870"/>
      <c r="N1407" s="870"/>
      <c r="O1407" s="870"/>
      <c r="P1407" s="870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73"/>
      <c r="E1408" s="677"/>
      <c r="F1408" s="677"/>
      <c r="G1408" s="677"/>
      <c r="H1408" s="872"/>
      <c r="I1408" s="871"/>
      <c r="J1408" s="871"/>
      <c r="K1408" s="870"/>
      <c r="L1408" s="870"/>
      <c r="M1408" s="870"/>
      <c r="N1408" s="870"/>
      <c r="O1408" s="870"/>
      <c r="P1408" s="870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73"/>
      <c r="E1409" s="677"/>
      <c r="F1409" s="677"/>
      <c r="G1409" s="677"/>
      <c r="H1409" s="872"/>
      <c r="I1409" s="871"/>
      <c r="J1409" s="871"/>
      <c r="K1409" s="870"/>
      <c r="L1409" s="870"/>
      <c r="M1409" s="870"/>
      <c r="N1409" s="870"/>
      <c r="O1409" s="870"/>
      <c r="P1409" s="870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73"/>
      <c r="E1410" s="677"/>
      <c r="F1410" s="677"/>
      <c r="G1410" s="677"/>
      <c r="H1410" s="872"/>
      <c r="I1410" s="871"/>
      <c r="J1410" s="871"/>
      <c r="K1410" s="870"/>
      <c r="L1410" s="870"/>
      <c r="M1410" s="870"/>
      <c r="N1410" s="870"/>
      <c r="O1410" s="870"/>
      <c r="P1410" s="870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73"/>
      <c r="E1411" s="677"/>
      <c r="F1411" s="677"/>
      <c r="G1411" s="677"/>
      <c r="H1411" s="872"/>
      <c r="I1411" s="871"/>
      <c r="J1411" s="871"/>
      <c r="K1411" s="870"/>
      <c r="L1411" s="870"/>
      <c r="M1411" s="870"/>
      <c r="N1411" s="870"/>
      <c r="O1411" s="870"/>
      <c r="P1411" s="870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73"/>
      <c r="E1412" s="677"/>
      <c r="F1412" s="677"/>
      <c r="G1412" s="677"/>
      <c r="H1412" s="872"/>
      <c r="I1412" s="871"/>
      <c r="J1412" s="871"/>
      <c r="K1412" s="870"/>
      <c r="L1412" s="870"/>
      <c r="M1412" s="870"/>
      <c r="N1412" s="870"/>
      <c r="O1412" s="870"/>
      <c r="P1412" s="870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73"/>
      <c r="E1413" s="677"/>
      <c r="F1413" s="677"/>
      <c r="G1413" s="677"/>
      <c r="H1413" s="872"/>
      <c r="I1413" s="871"/>
      <c r="J1413" s="871"/>
      <c r="K1413" s="870"/>
      <c r="L1413" s="870"/>
      <c r="M1413" s="870"/>
      <c r="N1413" s="870"/>
      <c r="O1413" s="870"/>
      <c r="P1413" s="870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73"/>
      <c r="E1414" s="677"/>
      <c r="F1414" s="677"/>
      <c r="G1414" s="677"/>
      <c r="H1414" s="872"/>
      <c r="I1414" s="871"/>
      <c r="J1414" s="871"/>
      <c r="K1414" s="870"/>
      <c r="L1414" s="870"/>
      <c r="M1414" s="870"/>
      <c r="N1414" s="870"/>
      <c r="O1414" s="870"/>
      <c r="P1414" s="870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73"/>
      <c r="E1415" s="677"/>
      <c r="F1415" s="677"/>
      <c r="G1415" s="677"/>
      <c r="H1415" s="872"/>
      <c r="I1415" s="871"/>
      <c r="J1415" s="871"/>
      <c r="K1415" s="870"/>
      <c r="L1415" s="870"/>
      <c r="M1415" s="870"/>
      <c r="N1415" s="870"/>
      <c r="O1415" s="870"/>
      <c r="P1415" s="870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73"/>
      <c r="E1416" s="677"/>
      <c r="F1416" s="677"/>
      <c r="G1416" s="677"/>
      <c r="H1416" s="872"/>
      <c r="I1416" s="871"/>
      <c r="J1416" s="871"/>
      <c r="K1416" s="870"/>
      <c r="L1416" s="870"/>
      <c r="M1416" s="870"/>
      <c r="N1416" s="870"/>
      <c r="O1416" s="870"/>
      <c r="P1416" s="870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73"/>
      <c r="E1417" s="677"/>
      <c r="F1417" s="677"/>
      <c r="G1417" s="677"/>
      <c r="H1417" s="872"/>
      <c r="I1417" s="871"/>
      <c r="J1417" s="871"/>
      <c r="K1417" s="870"/>
      <c r="L1417" s="870"/>
      <c r="M1417" s="870"/>
      <c r="N1417" s="870"/>
      <c r="O1417" s="870"/>
      <c r="P1417" s="870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73"/>
      <c r="E1418" s="677"/>
      <c r="F1418" s="677"/>
      <c r="G1418" s="677"/>
      <c r="H1418" s="872"/>
      <c r="I1418" s="871"/>
      <c r="J1418" s="871"/>
      <c r="K1418" s="870"/>
      <c r="L1418" s="870"/>
      <c r="M1418" s="870"/>
      <c r="N1418" s="870"/>
      <c r="O1418" s="870"/>
      <c r="P1418" s="870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73"/>
      <c r="E1419" s="677"/>
      <c r="F1419" s="677"/>
      <c r="G1419" s="677"/>
      <c r="H1419" s="872"/>
      <c r="I1419" s="871"/>
      <c r="J1419" s="871"/>
      <c r="K1419" s="870"/>
      <c r="L1419" s="870"/>
      <c r="M1419" s="870"/>
      <c r="N1419" s="870"/>
      <c r="O1419" s="870"/>
      <c r="P1419" s="870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73"/>
      <c r="E1420" s="677"/>
      <c r="F1420" s="677"/>
      <c r="G1420" s="677"/>
      <c r="H1420" s="872"/>
      <c r="I1420" s="871"/>
      <c r="J1420" s="871"/>
      <c r="K1420" s="870"/>
      <c r="L1420" s="870"/>
      <c r="M1420" s="870"/>
      <c r="N1420" s="870"/>
      <c r="O1420" s="870"/>
      <c r="P1420" s="870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73"/>
      <c r="E1421" s="677"/>
      <c r="F1421" s="677"/>
      <c r="G1421" s="677"/>
      <c r="H1421" s="872"/>
      <c r="I1421" s="871"/>
      <c r="J1421" s="871"/>
      <c r="K1421" s="870"/>
      <c r="L1421" s="870"/>
      <c r="M1421" s="870"/>
      <c r="N1421" s="870"/>
      <c r="O1421" s="870"/>
      <c r="P1421" s="870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73"/>
      <c r="E1422" s="677"/>
      <c r="F1422" s="677"/>
      <c r="G1422" s="677"/>
      <c r="H1422" s="872"/>
      <c r="I1422" s="871"/>
      <c r="J1422" s="871"/>
      <c r="K1422" s="870"/>
      <c r="L1422" s="870"/>
      <c r="M1422" s="870"/>
      <c r="N1422" s="870"/>
      <c r="O1422" s="870"/>
      <c r="P1422" s="870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73"/>
      <c r="E1423" s="677"/>
      <c r="F1423" s="677"/>
      <c r="G1423" s="677"/>
      <c r="H1423" s="872"/>
      <c r="I1423" s="871"/>
      <c r="J1423" s="871"/>
      <c r="K1423" s="870"/>
      <c r="L1423" s="870"/>
      <c r="M1423" s="870"/>
      <c r="N1423" s="870"/>
      <c r="O1423" s="870"/>
      <c r="P1423" s="870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73"/>
      <c r="E1424" s="677"/>
      <c r="F1424" s="677"/>
      <c r="G1424" s="677"/>
      <c r="H1424" s="872"/>
      <c r="I1424" s="871"/>
      <c r="J1424" s="871"/>
      <c r="K1424" s="870"/>
      <c r="L1424" s="870"/>
      <c r="M1424" s="870"/>
      <c r="N1424" s="870"/>
      <c r="O1424" s="870"/>
      <c r="P1424" s="870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73"/>
      <c r="E1425" s="677"/>
      <c r="F1425" s="677"/>
      <c r="G1425" s="677"/>
      <c r="H1425" s="872"/>
      <c r="I1425" s="871"/>
      <c r="J1425" s="871"/>
      <c r="K1425" s="870"/>
      <c r="L1425" s="870"/>
      <c r="M1425" s="870"/>
      <c r="N1425" s="870"/>
      <c r="O1425" s="870"/>
      <c r="P1425" s="870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73"/>
      <c r="E1426" s="677"/>
      <c r="F1426" s="677"/>
      <c r="G1426" s="677"/>
      <c r="H1426" s="872"/>
      <c r="I1426" s="871"/>
      <c r="J1426" s="871"/>
      <c r="K1426" s="870"/>
      <c r="L1426" s="870"/>
      <c r="M1426" s="870"/>
      <c r="N1426" s="870"/>
      <c r="O1426" s="870"/>
      <c r="P1426" s="870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73"/>
      <c r="E1427" s="677"/>
      <c r="F1427" s="677"/>
      <c r="G1427" s="677"/>
      <c r="H1427" s="872"/>
      <c r="I1427" s="871"/>
      <c r="J1427" s="871"/>
      <c r="K1427" s="870"/>
      <c r="L1427" s="870"/>
      <c r="M1427" s="870"/>
      <c r="N1427" s="870"/>
      <c r="O1427" s="870"/>
      <c r="P1427" s="870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73"/>
      <c r="E1428" s="677"/>
      <c r="F1428" s="677"/>
      <c r="G1428" s="677"/>
      <c r="H1428" s="872"/>
      <c r="I1428" s="871"/>
      <c r="J1428" s="871"/>
      <c r="K1428" s="870"/>
      <c r="L1428" s="870"/>
      <c r="M1428" s="870"/>
      <c r="N1428" s="870"/>
      <c r="O1428" s="870"/>
      <c r="P1428" s="870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73"/>
      <c r="E1429" s="677"/>
      <c r="F1429" s="677"/>
      <c r="G1429" s="677"/>
      <c r="H1429" s="872"/>
      <c r="I1429" s="871"/>
      <c r="J1429" s="871"/>
      <c r="K1429" s="870"/>
      <c r="L1429" s="870"/>
      <c r="M1429" s="870"/>
      <c r="N1429" s="870"/>
      <c r="O1429" s="870"/>
      <c r="P1429" s="870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73"/>
      <c r="E1430" s="677"/>
      <c r="F1430" s="677"/>
      <c r="G1430" s="677"/>
      <c r="H1430" s="872"/>
      <c r="I1430" s="871"/>
      <c r="J1430" s="871"/>
      <c r="K1430" s="870"/>
      <c r="L1430" s="870"/>
      <c r="M1430" s="870"/>
      <c r="N1430" s="870"/>
      <c r="O1430" s="870"/>
      <c r="P1430" s="870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73"/>
      <c r="E1431" s="677"/>
      <c r="F1431" s="677"/>
      <c r="G1431" s="677"/>
      <c r="H1431" s="872"/>
      <c r="I1431" s="871"/>
      <c r="J1431" s="871"/>
      <c r="K1431" s="870"/>
      <c r="L1431" s="870"/>
      <c r="M1431" s="870"/>
      <c r="N1431" s="870"/>
      <c r="O1431" s="870"/>
      <c r="P1431" s="870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73"/>
      <c r="E1432" s="677"/>
      <c r="F1432" s="677"/>
      <c r="G1432" s="677"/>
      <c r="H1432" s="872"/>
      <c r="I1432" s="871"/>
      <c r="J1432" s="871"/>
      <c r="K1432" s="870"/>
      <c r="L1432" s="870"/>
      <c r="M1432" s="870"/>
      <c r="N1432" s="870"/>
      <c r="O1432" s="870"/>
      <c r="P1432" s="870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73"/>
      <c r="E1433" s="677"/>
      <c r="F1433" s="677"/>
      <c r="G1433" s="677"/>
      <c r="H1433" s="872"/>
      <c r="I1433" s="871"/>
      <c r="J1433" s="871"/>
      <c r="K1433" s="870"/>
      <c r="L1433" s="870"/>
      <c r="M1433" s="870"/>
      <c r="N1433" s="870"/>
      <c r="O1433" s="870"/>
      <c r="P1433" s="870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73"/>
      <c r="E1434" s="677"/>
      <c r="F1434" s="677"/>
      <c r="G1434" s="677"/>
      <c r="H1434" s="872"/>
      <c r="I1434" s="871"/>
      <c r="J1434" s="871"/>
      <c r="K1434" s="870"/>
      <c r="L1434" s="870"/>
      <c r="M1434" s="870"/>
      <c r="N1434" s="870"/>
      <c r="O1434" s="870"/>
      <c r="P1434" s="870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73"/>
      <c r="E1435" s="677"/>
      <c r="F1435" s="677"/>
      <c r="G1435" s="677"/>
      <c r="H1435" s="872"/>
      <c r="I1435" s="871"/>
      <c r="J1435" s="871"/>
      <c r="K1435" s="870"/>
      <c r="L1435" s="870"/>
      <c r="M1435" s="870"/>
      <c r="N1435" s="870"/>
      <c r="O1435" s="870"/>
      <c r="P1435" s="870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73"/>
      <c r="E1436" s="677"/>
      <c r="F1436" s="677"/>
      <c r="G1436" s="677"/>
      <c r="H1436" s="872"/>
      <c r="I1436" s="871"/>
      <c r="J1436" s="871"/>
      <c r="K1436" s="870"/>
      <c r="L1436" s="870"/>
      <c r="M1436" s="870"/>
      <c r="N1436" s="870"/>
      <c r="O1436" s="870"/>
      <c r="P1436" s="870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73"/>
      <c r="E1437" s="677"/>
      <c r="F1437" s="677"/>
      <c r="G1437" s="677"/>
      <c r="H1437" s="872"/>
      <c r="I1437" s="871"/>
      <c r="J1437" s="871"/>
      <c r="K1437" s="870"/>
      <c r="L1437" s="870"/>
      <c r="M1437" s="870"/>
      <c r="N1437" s="870"/>
      <c r="O1437" s="870"/>
      <c r="P1437" s="870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73"/>
      <c r="E1438" s="677"/>
      <c r="F1438" s="677"/>
      <c r="G1438" s="677"/>
      <c r="H1438" s="872"/>
      <c r="I1438" s="871"/>
      <c r="J1438" s="871"/>
      <c r="K1438" s="870"/>
      <c r="L1438" s="870"/>
      <c r="M1438" s="870"/>
      <c r="N1438" s="870"/>
      <c r="O1438" s="870"/>
      <c r="P1438" s="870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73"/>
      <c r="E1439" s="677"/>
      <c r="F1439" s="677"/>
      <c r="G1439" s="677"/>
      <c r="H1439" s="872"/>
      <c r="I1439" s="871"/>
      <c r="J1439" s="871"/>
      <c r="K1439" s="870"/>
      <c r="L1439" s="870"/>
      <c r="M1439" s="870"/>
      <c r="N1439" s="870"/>
      <c r="O1439" s="870"/>
      <c r="P1439" s="870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73"/>
      <c r="E1440" s="677"/>
      <c r="F1440" s="677"/>
      <c r="G1440" s="677"/>
      <c r="H1440" s="872"/>
      <c r="I1440" s="871"/>
      <c r="J1440" s="871"/>
      <c r="K1440" s="870"/>
      <c r="L1440" s="870"/>
      <c r="M1440" s="870"/>
      <c r="N1440" s="870"/>
      <c r="O1440" s="870"/>
      <c r="P1440" s="870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73"/>
      <c r="E1441" s="677"/>
      <c r="F1441" s="677"/>
      <c r="G1441" s="677"/>
      <c r="H1441" s="872"/>
      <c r="I1441" s="871"/>
      <c r="J1441" s="871"/>
      <c r="K1441" s="870"/>
      <c r="L1441" s="870"/>
      <c r="M1441" s="870"/>
      <c r="N1441" s="870"/>
      <c r="O1441" s="870"/>
      <c r="P1441" s="870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73"/>
      <c r="E1442" s="677"/>
      <c r="F1442" s="677"/>
      <c r="G1442" s="677"/>
      <c r="H1442" s="872"/>
      <c r="I1442" s="871"/>
      <c r="J1442" s="871"/>
      <c r="K1442" s="870"/>
      <c r="L1442" s="870"/>
      <c r="M1442" s="870"/>
      <c r="N1442" s="870"/>
      <c r="O1442" s="870"/>
      <c r="P1442" s="870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73"/>
      <c r="E1443" s="677"/>
      <c r="F1443" s="677"/>
      <c r="G1443" s="677"/>
      <c r="H1443" s="872"/>
      <c r="I1443" s="871"/>
      <c r="J1443" s="871"/>
      <c r="K1443" s="870"/>
      <c r="L1443" s="870"/>
      <c r="M1443" s="870"/>
      <c r="N1443" s="870"/>
      <c r="O1443" s="870"/>
      <c r="P1443" s="870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73"/>
      <c r="E1444" s="677"/>
      <c r="F1444" s="677"/>
      <c r="G1444" s="677"/>
      <c r="H1444" s="872"/>
      <c r="I1444" s="871"/>
      <c r="J1444" s="871"/>
      <c r="K1444" s="870"/>
      <c r="L1444" s="870"/>
      <c r="M1444" s="870"/>
      <c r="N1444" s="870"/>
      <c r="O1444" s="870"/>
      <c r="P1444" s="870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73"/>
      <c r="E1445" s="677"/>
      <c r="F1445" s="677"/>
      <c r="G1445" s="677"/>
      <c r="H1445" s="872"/>
      <c r="I1445" s="871"/>
      <c r="J1445" s="871"/>
      <c r="K1445" s="870"/>
      <c r="L1445" s="870"/>
      <c r="M1445" s="870"/>
      <c r="N1445" s="870"/>
      <c r="O1445" s="870"/>
      <c r="P1445" s="870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73"/>
      <c r="E1446" s="677"/>
      <c r="F1446" s="677"/>
      <c r="G1446" s="677"/>
      <c r="H1446" s="872"/>
      <c r="I1446" s="871"/>
      <c r="J1446" s="871"/>
      <c r="K1446" s="870"/>
      <c r="L1446" s="870"/>
      <c r="M1446" s="870"/>
      <c r="N1446" s="870"/>
      <c r="O1446" s="870"/>
      <c r="P1446" s="870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73"/>
      <c r="E1447" s="677"/>
      <c r="F1447" s="677"/>
      <c r="G1447" s="677"/>
      <c r="H1447" s="872"/>
      <c r="I1447" s="871"/>
      <c r="J1447" s="871"/>
      <c r="K1447" s="870"/>
      <c r="L1447" s="870"/>
      <c r="M1447" s="870"/>
      <c r="N1447" s="870"/>
      <c r="O1447" s="870"/>
      <c r="P1447" s="870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73"/>
      <c r="E1448" s="677"/>
      <c r="F1448" s="677"/>
      <c r="G1448" s="677"/>
      <c r="H1448" s="872"/>
      <c r="I1448" s="871"/>
      <c r="J1448" s="871"/>
      <c r="K1448" s="870"/>
      <c r="L1448" s="870"/>
      <c r="M1448" s="870"/>
      <c r="N1448" s="870"/>
      <c r="O1448" s="870"/>
      <c r="P1448" s="870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73"/>
      <c r="E1449" s="677"/>
      <c r="F1449" s="677"/>
      <c r="G1449" s="677"/>
      <c r="H1449" s="872"/>
      <c r="I1449" s="871"/>
      <c r="J1449" s="871"/>
      <c r="K1449" s="870"/>
      <c r="L1449" s="870"/>
      <c r="M1449" s="870"/>
      <c r="N1449" s="870"/>
      <c r="O1449" s="870"/>
      <c r="P1449" s="870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73"/>
      <c r="E1450" s="677"/>
      <c r="F1450" s="677"/>
      <c r="G1450" s="677"/>
      <c r="H1450" s="872"/>
      <c r="I1450" s="871"/>
      <c r="J1450" s="871"/>
      <c r="K1450" s="870"/>
      <c r="L1450" s="870"/>
      <c r="M1450" s="870"/>
      <c r="N1450" s="870"/>
      <c r="O1450" s="870"/>
      <c r="P1450" s="870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73"/>
      <c r="E1451" s="677"/>
      <c r="F1451" s="677"/>
      <c r="G1451" s="677"/>
      <c r="H1451" s="872"/>
      <c r="I1451" s="871"/>
      <c r="J1451" s="871"/>
      <c r="K1451" s="870"/>
      <c r="L1451" s="870"/>
      <c r="M1451" s="870"/>
      <c r="N1451" s="870"/>
      <c r="O1451" s="870"/>
      <c r="P1451" s="870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73"/>
      <c r="E1452" s="677"/>
      <c r="F1452" s="677"/>
      <c r="G1452" s="677"/>
      <c r="H1452" s="872"/>
      <c r="I1452" s="871"/>
      <c r="J1452" s="871"/>
      <c r="K1452" s="870"/>
      <c r="L1452" s="870"/>
      <c r="M1452" s="870"/>
      <c r="N1452" s="870"/>
      <c r="O1452" s="870"/>
      <c r="P1452" s="870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73"/>
      <c r="E1453" s="677"/>
      <c r="F1453" s="677"/>
      <c r="G1453" s="677"/>
      <c r="H1453" s="872"/>
      <c r="I1453" s="871"/>
      <c r="J1453" s="871"/>
      <c r="K1453" s="870"/>
      <c r="L1453" s="870"/>
      <c r="M1453" s="870"/>
      <c r="N1453" s="870"/>
      <c r="O1453" s="870"/>
      <c r="P1453" s="870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73"/>
      <c r="E1454" s="677"/>
      <c r="F1454" s="677"/>
      <c r="G1454" s="677"/>
      <c r="H1454" s="872"/>
      <c r="I1454" s="871"/>
      <c r="J1454" s="871"/>
      <c r="K1454" s="870"/>
      <c r="L1454" s="870"/>
      <c r="M1454" s="870"/>
      <c r="N1454" s="870"/>
      <c r="O1454" s="870"/>
      <c r="P1454" s="870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73"/>
      <c r="E1455" s="677"/>
      <c r="F1455" s="677"/>
      <c r="G1455" s="677"/>
      <c r="H1455" s="872"/>
      <c r="I1455" s="871"/>
      <c r="J1455" s="871"/>
      <c r="K1455" s="870"/>
      <c r="L1455" s="870"/>
      <c r="M1455" s="870"/>
      <c r="N1455" s="870"/>
      <c r="O1455" s="870"/>
      <c r="P1455" s="870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73"/>
      <c r="E1456" s="677"/>
      <c r="F1456" s="677"/>
      <c r="G1456" s="677"/>
      <c r="H1456" s="872"/>
      <c r="I1456" s="871"/>
      <c r="J1456" s="871"/>
      <c r="K1456" s="870"/>
      <c r="L1456" s="870"/>
      <c r="M1456" s="870"/>
      <c r="N1456" s="870"/>
      <c r="O1456" s="870"/>
      <c r="P1456" s="870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73"/>
      <c r="E1457" s="677"/>
      <c r="F1457" s="677"/>
      <c r="G1457" s="677"/>
      <c r="H1457" s="872"/>
      <c r="I1457" s="871"/>
      <c r="J1457" s="871"/>
      <c r="K1457" s="870"/>
      <c r="L1457" s="870"/>
      <c r="M1457" s="870"/>
      <c r="N1457" s="870"/>
      <c r="O1457" s="870"/>
      <c r="P1457" s="870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73"/>
      <c r="E1458" s="677"/>
      <c r="F1458" s="677"/>
      <c r="G1458" s="677"/>
      <c r="H1458" s="872"/>
      <c r="I1458" s="871"/>
      <c r="J1458" s="871"/>
      <c r="K1458" s="870"/>
      <c r="L1458" s="870"/>
      <c r="M1458" s="870"/>
      <c r="N1458" s="870"/>
      <c r="O1458" s="870"/>
      <c r="P1458" s="870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73"/>
      <c r="E1459" s="677"/>
      <c r="F1459" s="677"/>
      <c r="G1459" s="677"/>
      <c r="H1459" s="872"/>
      <c r="I1459" s="871"/>
      <c r="J1459" s="871"/>
      <c r="K1459" s="870"/>
      <c r="L1459" s="870"/>
      <c r="M1459" s="870"/>
      <c r="N1459" s="870"/>
      <c r="O1459" s="870"/>
      <c r="P1459" s="870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73"/>
      <c r="E1460" s="677"/>
      <c r="F1460" s="677"/>
      <c r="G1460" s="677"/>
      <c r="H1460" s="872"/>
      <c r="I1460" s="871"/>
      <c r="J1460" s="871"/>
      <c r="K1460" s="870"/>
      <c r="L1460" s="870"/>
      <c r="M1460" s="870"/>
      <c r="N1460" s="870"/>
      <c r="O1460" s="870"/>
      <c r="P1460" s="870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73"/>
      <c r="E1461" s="677"/>
      <c r="F1461" s="677"/>
      <c r="G1461" s="677"/>
      <c r="H1461" s="872"/>
      <c r="I1461" s="871"/>
      <c r="J1461" s="871"/>
      <c r="K1461" s="870"/>
      <c r="L1461" s="870"/>
      <c r="M1461" s="870"/>
      <c r="N1461" s="870"/>
      <c r="O1461" s="870"/>
      <c r="P1461" s="870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73"/>
      <c r="E1462" s="677"/>
      <c r="F1462" s="677"/>
      <c r="G1462" s="677"/>
      <c r="H1462" s="872"/>
      <c r="I1462" s="871"/>
      <c r="J1462" s="871"/>
      <c r="K1462" s="870"/>
      <c r="L1462" s="870"/>
      <c r="M1462" s="870"/>
      <c r="N1462" s="870"/>
      <c r="O1462" s="870"/>
      <c r="P1462" s="870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73"/>
      <c r="E1463" s="677"/>
      <c r="F1463" s="677"/>
      <c r="G1463" s="677"/>
      <c r="H1463" s="872"/>
      <c r="I1463" s="871"/>
      <c r="J1463" s="871"/>
      <c r="K1463" s="870"/>
      <c r="L1463" s="870"/>
      <c r="M1463" s="870"/>
      <c r="N1463" s="870"/>
      <c r="O1463" s="870"/>
      <c r="P1463" s="870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73"/>
      <c r="E1464" s="677"/>
      <c r="F1464" s="677"/>
      <c r="G1464" s="677"/>
      <c r="H1464" s="872"/>
      <c r="I1464" s="871"/>
      <c r="J1464" s="871"/>
      <c r="K1464" s="870"/>
      <c r="L1464" s="870"/>
      <c r="M1464" s="870"/>
      <c r="N1464" s="870"/>
      <c r="O1464" s="870"/>
      <c r="P1464" s="870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73"/>
      <c r="E1465" s="677"/>
      <c r="F1465" s="677"/>
      <c r="G1465" s="677"/>
      <c r="H1465" s="872"/>
      <c r="I1465" s="871"/>
      <c r="J1465" s="871"/>
      <c r="K1465" s="870"/>
      <c r="L1465" s="870"/>
      <c r="M1465" s="870"/>
      <c r="N1465" s="870"/>
      <c r="O1465" s="870"/>
      <c r="P1465" s="870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73"/>
      <c r="E1466" s="677"/>
      <c r="F1466" s="677"/>
      <c r="G1466" s="677"/>
      <c r="H1466" s="872"/>
      <c r="I1466" s="871"/>
      <c r="J1466" s="871"/>
      <c r="K1466" s="870"/>
      <c r="L1466" s="870"/>
      <c r="M1466" s="870"/>
      <c r="N1466" s="870"/>
      <c r="O1466" s="870"/>
      <c r="P1466" s="870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73"/>
      <c r="E1467" s="677"/>
      <c r="F1467" s="677"/>
      <c r="G1467" s="677"/>
      <c r="H1467" s="872"/>
      <c r="I1467" s="871"/>
      <c r="J1467" s="871"/>
      <c r="K1467" s="870"/>
      <c r="L1467" s="870"/>
      <c r="M1467" s="870"/>
      <c r="N1467" s="870"/>
      <c r="O1467" s="870"/>
      <c r="P1467" s="870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73"/>
      <c r="E1468" s="677"/>
      <c r="F1468" s="677"/>
      <c r="G1468" s="677"/>
      <c r="H1468" s="872"/>
      <c r="I1468" s="871"/>
      <c r="J1468" s="871"/>
      <c r="K1468" s="870"/>
      <c r="L1468" s="870"/>
      <c r="M1468" s="870"/>
      <c r="N1468" s="870"/>
      <c r="O1468" s="870"/>
      <c r="P1468" s="870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73"/>
      <c r="E1469" s="677"/>
      <c r="F1469" s="677"/>
      <c r="G1469" s="677"/>
      <c r="H1469" s="872"/>
      <c r="I1469" s="871"/>
      <c r="J1469" s="871"/>
      <c r="K1469" s="870"/>
      <c r="L1469" s="870"/>
      <c r="M1469" s="870"/>
      <c r="N1469" s="870"/>
      <c r="O1469" s="870"/>
      <c r="P1469" s="870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73"/>
      <c r="E1470" s="677"/>
      <c r="F1470" s="677"/>
      <c r="G1470" s="677"/>
      <c r="H1470" s="872"/>
      <c r="I1470" s="871"/>
      <c r="J1470" s="871"/>
      <c r="K1470" s="870"/>
      <c r="L1470" s="870"/>
      <c r="M1470" s="870"/>
      <c r="N1470" s="870"/>
      <c r="O1470" s="870"/>
      <c r="P1470" s="870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73"/>
      <c r="E1471" s="677"/>
      <c r="F1471" s="677"/>
      <c r="G1471" s="677"/>
      <c r="H1471" s="872"/>
      <c r="I1471" s="871"/>
      <c r="J1471" s="871"/>
      <c r="K1471" s="870"/>
      <c r="L1471" s="870"/>
      <c r="M1471" s="870"/>
      <c r="N1471" s="870"/>
      <c r="O1471" s="870"/>
      <c r="P1471" s="870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73"/>
      <c r="E1472" s="677"/>
      <c r="F1472" s="677"/>
      <c r="G1472" s="677"/>
      <c r="H1472" s="872"/>
      <c r="I1472" s="871"/>
      <c r="J1472" s="871"/>
      <c r="K1472" s="870"/>
      <c r="L1472" s="870"/>
      <c r="M1472" s="870"/>
      <c r="N1472" s="870"/>
      <c r="O1472" s="870"/>
      <c r="P1472" s="870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73"/>
      <c r="E1473" s="677"/>
      <c r="F1473" s="677"/>
      <c r="G1473" s="677"/>
      <c r="H1473" s="872"/>
      <c r="I1473" s="871"/>
      <c r="J1473" s="871"/>
      <c r="K1473" s="870"/>
      <c r="L1473" s="870"/>
      <c r="M1473" s="870"/>
      <c r="N1473" s="870"/>
      <c r="O1473" s="870"/>
      <c r="P1473" s="870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73"/>
      <c r="E1474" s="677"/>
      <c r="F1474" s="677"/>
      <c r="G1474" s="677"/>
      <c r="H1474" s="872"/>
      <c r="I1474" s="871"/>
      <c r="J1474" s="871"/>
      <c r="K1474" s="870"/>
      <c r="L1474" s="870"/>
      <c r="M1474" s="870"/>
      <c r="N1474" s="870"/>
      <c r="O1474" s="870"/>
      <c r="P1474" s="870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73"/>
      <c r="E1475" s="677"/>
      <c r="F1475" s="677"/>
      <c r="G1475" s="677"/>
      <c r="H1475" s="872"/>
      <c r="I1475" s="871"/>
      <c r="J1475" s="871"/>
      <c r="K1475" s="870"/>
      <c r="L1475" s="870"/>
      <c r="M1475" s="870"/>
      <c r="N1475" s="870"/>
      <c r="O1475" s="870"/>
      <c r="P1475" s="870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73"/>
      <c r="E1476" s="677"/>
      <c r="F1476" s="677"/>
      <c r="G1476" s="677"/>
      <c r="H1476" s="872"/>
      <c r="I1476" s="871"/>
      <c r="J1476" s="871"/>
      <c r="K1476" s="870"/>
      <c r="L1476" s="870"/>
      <c r="M1476" s="870"/>
      <c r="N1476" s="870"/>
      <c r="O1476" s="870"/>
      <c r="P1476" s="870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73"/>
      <c r="E1477" s="677"/>
      <c r="F1477" s="677"/>
      <c r="G1477" s="677"/>
      <c r="H1477" s="872"/>
      <c r="I1477" s="871"/>
      <c r="J1477" s="871"/>
      <c r="K1477" s="870"/>
      <c r="L1477" s="870"/>
      <c r="M1477" s="870"/>
      <c r="N1477" s="870"/>
      <c r="O1477" s="870"/>
      <c r="P1477" s="870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73"/>
      <c r="E1478" s="677"/>
      <c r="F1478" s="677"/>
      <c r="G1478" s="677"/>
      <c r="H1478" s="872"/>
      <c r="I1478" s="871"/>
      <c r="J1478" s="871"/>
      <c r="K1478" s="870"/>
      <c r="L1478" s="870"/>
      <c r="M1478" s="870"/>
      <c r="N1478" s="870"/>
      <c r="O1478" s="870"/>
      <c r="P1478" s="870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73"/>
      <c r="E1479" s="677"/>
      <c r="F1479" s="677"/>
      <c r="G1479" s="677"/>
      <c r="H1479" s="872"/>
      <c r="I1479" s="871"/>
      <c r="J1479" s="871"/>
      <c r="K1479" s="870"/>
      <c r="L1479" s="870"/>
      <c r="M1479" s="870"/>
      <c r="N1479" s="870"/>
      <c r="O1479" s="870"/>
      <c r="P1479" s="870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73"/>
      <c r="E1480" s="677"/>
      <c r="F1480" s="677"/>
      <c r="G1480" s="677"/>
      <c r="H1480" s="872"/>
      <c r="I1480" s="871"/>
      <c r="J1480" s="871"/>
      <c r="K1480" s="870"/>
      <c r="L1480" s="870"/>
      <c r="M1480" s="870"/>
      <c r="N1480" s="870"/>
      <c r="O1480" s="870"/>
      <c r="P1480" s="870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73"/>
      <c r="E1481" s="677"/>
      <c r="F1481" s="677"/>
      <c r="G1481" s="677"/>
      <c r="H1481" s="872"/>
      <c r="I1481" s="871"/>
      <c r="J1481" s="871"/>
      <c r="K1481" s="870"/>
      <c r="L1481" s="870"/>
      <c r="M1481" s="870"/>
      <c r="N1481" s="870"/>
      <c r="O1481" s="870"/>
      <c r="P1481" s="870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73"/>
      <c r="E1482" s="677"/>
      <c r="F1482" s="677"/>
      <c r="G1482" s="677"/>
      <c r="H1482" s="872"/>
      <c r="I1482" s="871"/>
      <c r="J1482" s="871"/>
      <c r="K1482" s="870"/>
      <c r="L1482" s="870"/>
      <c r="M1482" s="870"/>
      <c r="N1482" s="870"/>
      <c r="O1482" s="870"/>
      <c r="P1482" s="870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73"/>
      <c r="E1483" s="677"/>
      <c r="F1483" s="677"/>
      <c r="G1483" s="677"/>
      <c r="H1483" s="872"/>
      <c r="I1483" s="871"/>
      <c r="J1483" s="871"/>
      <c r="K1483" s="870"/>
      <c r="L1483" s="870"/>
      <c r="M1483" s="870"/>
      <c r="N1483" s="870"/>
      <c r="O1483" s="870"/>
      <c r="P1483" s="870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73"/>
      <c r="E1484" s="677"/>
      <c r="F1484" s="677"/>
      <c r="G1484" s="677"/>
      <c r="H1484" s="872"/>
      <c r="I1484" s="871"/>
      <c r="J1484" s="871"/>
      <c r="K1484" s="870"/>
      <c r="L1484" s="870"/>
      <c r="M1484" s="870"/>
      <c r="N1484" s="870"/>
      <c r="O1484" s="870"/>
      <c r="P1484" s="870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73"/>
      <c r="E1485" s="677"/>
      <c r="F1485" s="677"/>
      <c r="G1485" s="677"/>
      <c r="H1485" s="872"/>
      <c r="I1485" s="871"/>
      <c r="J1485" s="871"/>
      <c r="K1485" s="870"/>
      <c r="L1485" s="870"/>
      <c r="M1485" s="870"/>
      <c r="N1485" s="870"/>
      <c r="O1485" s="870"/>
      <c r="P1485" s="870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73"/>
      <c r="E1486" s="677"/>
      <c r="F1486" s="677"/>
      <c r="G1486" s="677"/>
      <c r="H1486" s="872"/>
      <c r="I1486" s="871"/>
      <c r="J1486" s="871"/>
      <c r="K1486" s="870"/>
      <c r="L1486" s="870"/>
      <c r="M1486" s="870"/>
      <c r="N1486" s="870"/>
      <c r="O1486" s="870"/>
      <c r="P1486" s="870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73"/>
      <c r="E1487" s="677"/>
      <c r="F1487" s="677"/>
      <c r="G1487" s="677"/>
      <c r="H1487" s="872"/>
      <c r="I1487" s="871"/>
      <c r="J1487" s="871"/>
      <c r="K1487" s="870"/>
      <c r="L1487" s="870"/>
      <c r="M1487" s="870"/>
      <c r="N1487" s="870"/>
      <c r="O1487" s="870"/>
      <c r="P1487" s="870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73"/>
      <c r="E1488" s="677"/>
      <c r="F1488" s="677"/>
      <c r="G1488" s="677"/>
      <c r="H1488" s="872"/>
      <c r="I1488" s="871"/>
      <c r="J1488" s="871"/>
      <c r="K1488" s="870"/>
      <c r="L1488" s="870"/>
      <c r="M1488" s="870"/>
      <c r="N1488" s="870"/>
      <c r="O1488" s="870"/>
      <c r="P1488" s="870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73"/>
      <c r="E1489" s="677"/>
      <c r="F1489" s="677"/>
      <c r="G1489" s="677"/>
      <c r="H1489" s="872"/>
      <c r="I1489" s="871"/>
      <c r="J1489" s="871"/>
      <c r="K1489" s="870"/>
      <c r="L1489" s="870"/>
      <c r="M1489" s="870"/>
      <c r="N1489" s="870"/>
      <c r="O1489" s="870"/>
      <c r="P1489" s="870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73"/>
      <c r="E1490" s="677"/>
      <c r="F1490" s="677"/>
      <c r="G1490" s="677"/>
      <c r="H1490" s="872"/>
      <c r="I1490" s="871"/>
      <c r="J1490" s="871"/>
      <c r="K1490" s="870"/>
      <c r="L1490" s="870"/>
      <c r="M1490" s="870"/>
      <c r="N1490" s="870"/>
      <c r="O1490" s="870"/>
      <c r="P1490" s="870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73"/>
      <c r="E1491" s="677"/>
      <c r="F1491" s="677"/>
      <c r="G1491" s="677"/>
      <c r="H1491" s="872"/>
      <c r="I1491" s="871"/>
      <c r="J1491" s="871"/>
      <c r="K1491" s="870"/>
      <c r="L1491" s="870"/>
      <c r="M1491" s="870"/>
      <c r="N1491" s="870"/>
      <c r="O1491" s="870"/>
      <c r="P1491" s="870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73"/>
      <c r="E1492" s="677"/>
      <c r="F1492" s="677"/>
      <c r="G1492" s="677"/>
      <c r="H1492" s="872"/>
      <c r="I1492" s="871"/>
      <c r="J1492" s="871"/>
      <c r="K1492" s="870"/>
      <c r="L1492" s="870"/>
      <c r="M1492" s="870"/>
      <c r="N1492" s="870"/>
      <c r="O1492" s="870"/>
      <c r="P1492" s="870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73"/>
      <c r="E1493" s="677"/>
      <c r="F1493" s="677"/>
      <c r="G1493" s="677"/>
      <c r="H1493" s="872"/>
      <c r="I1493" s="871"/>
      <c r="J1493" s="871"/>
      <c r="K1493" s="870"/>
      <c r="L1493" s="870"/>
      <c r="M1493" s="870"/>
      <c r="N1493" s="870"/>
      <c r="O1493" s="870"/>
      <c r="P1493" s="870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73"/>
      <c r="E1494" s="677"/>
      <c r="F1494" s="677"/>
      <c r="G1494" s="677"/>
      <c r="H1494" s="872"/>
      <c r="I1494" s="871"/>
      <c r="J1494" s="871"/>
      <c r="K1494" s="870"/>
      <c r="L1494" s="870"/>
      <c r="M1494" s="870"/>
      <c r="N1494" s="870"/>
      <c r="O1494" s="870"/>
      <c r="P1494" s="870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73"/>
      <c r="E1495" s="677"/>
      <c r="F1495" s="677"/>
      <c r="G1495" s="677"/>
      <c r="H1495" s="872"/>
      <c r="I1495" s="871"/>
      <c r="J1495" s="871"/>
      <c r="K1495" s="870"/>
      <c r="L1495" s="870"/>
      <c r="M1495" s="870"/>
      <c r="N1495" s="870"/>
      <c r="O1495" s="870"/>
      <c r="P1495" s="870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73"/>
      <c r="E1496" s="677"/>
      <c r="F1496" s="677"/>
      <c r="G1496" s="677"/>
      <c r="H1496" s="872"/>
      <c r="I1496" s="871"/>
      <c r="J1496" s="871"/>
      <c r="K1496" s="870"/>
      <c r="L1496" s="870"/>
      <c r="M1496" s="870"/>
      <c r="N1496" s="870"/>
      <c r="O1496" s="870"/>
      <c r="P1496" s="870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73"/>
      <c r="E1497" s="677"/>
      <c r="F1497" s="677"/>
      <c r="G1497" s="677"/>
      <c r="H1497" s="872"/>
      <c r="I1497" s="871"/>
      <c r="J1497" s="871"/>
      <c r="K1497" s="870"/>
      <c r="L1497" s="870"/>
      <c r="M1497" s="870"/>
      <c r="N1497" s="870"/>
      <c r="O1497" s="870"/>
      <c r="P1497" s="870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73"/>
      <c r="E1498" s="677"/>
      <c r="F1498" s="677"/>
      <c r="G1498" s="677"/>
      <c r="H1498" s="872"/>
      <c r="I1498" s="871"/>
      <c r="J1498" s="871"/>
      <c r="K1498" s="870"/>
      <c r="L1498" s="870"/>
      <c r="M1498" s="870"/>
      <c r="N1498" s="870"/>
      <c r="O1498" s="870"/>
      <c r="P1498" s="870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73"/>
      <c r="E1499" s="677"/>
      <c r="F1499" s="677"/>
      <c r="G1499" s="677"/>
      <c r="H1499" s="872"/>
      <c r="I1499" s="871"/>
      <c r="J1499" s="871"/>
      <c r="K1499" s="870"/>
      <c r="L1499" s="870"/>
      <c r="M1499" s="870"/>
      <c r="N1499" s="870"/>
      <c r="O1499" s="870"/>
      <c r="P1499" s="870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73"/>
      <c r="E1500" s="677"/>
      <c r="F1500" s="677"/>
      <c r="G1500" s="677"/>
      <c r="H1500" s="872"/>
      <c r="I1500" s="871"/>
      <c r="J1500" s="871"/>
      <c r="K1500" s="870"/>
      <c r="L1500" s="870"/>
      <c r="M1500" s="870"/>
      <c r="N1500" s="870"/>
      <c r="O1500" s="870"/>
      <c r="P1500" s="870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73"/>
      <c r="E1501" s="677"/>
      <c r="F1501" s="677"/>
      <c r="G1501" s="677"/>
      <c r="H1501" s="872"/>
      <c r="I1501" s="871"/>
      <c r="J1501" s="871"/>
      <c r="K1501" s="870"/>
      <c r="L1501" s="870"/>
      <c r="M1501" s="870"/>
      <c r="N1501" s="870"/>
      <c r="O1501" s="870"/>
      <c r="P1501" s="870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73"/>
      <c r="E1502" s="677"/>
      <c r="F1502" s="677"/>
      <c r="G1502" s="677"/>
      <c r="H1502" s="872"/>
      <c r="I1502" s="871"/>
      <c r="J1502" s="871"/>
      <c r="K1502" s="870"/>
      <c r="L1502" s="870"/>
      <c r="M1502" s="870"/>
      <c r="N1502" s="870"/>
      <c r="O1502" s="870"/>
      <c r="P1502" s="870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73"/>
      <c r="E1503" s="677"/>
      <c r="F1503" s="677"/>
      <c r="G1503" s="677"/>
      <c r="H1503" s="872"/>
      <c r="I1503" s="871"/>
      <c r="J1503" s="871"/>
      <c r="K1503" s="870"/>
      <c r="L1503" s="870"/>
      <c r="M1503" s="870"/>
      <c r="N1503" s="870"/>
      <c r="O1503" s="870"/>
      <c r="P1503" s="870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73"/>
      <c r="E1504" s="677"/>
      <c r="F1504" s="677"/>
      <c r="G1504" s="677"/>
      <c r="H1504" s="872"/>
      <c r="I1504" s="871"/>
      <c r="J1504" s="871"/>
      <c r="K1504" s="870"/>
      <c r="L1504" s="870"/>
      <c r="M1504" s="870"/>
      <c r="N1504" s="870"/>
      <c r="O1504" s="870"/>
      <c r="P1504" s="870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73"/>
      <c r="E1505" s="677"/>
      <c r="F1505" s="677"/>
      <c r="G1505" s="677"/>
      <c r="H1505" s="872"/>
      <c r="I1505" s="871"/>
      <c r="J1505" s="871"/>
      <c r="K1505" s="870"/>
      <c r="L1505" s="870"/>
      <c r="M1505" s="870"/>
      <c r="N1505" s="870"/>
      <c r="O1505" s="870"/>
      <c r="P1505" s="870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73"/>
      <c r="E1506" s="677"/>
      <c r="F1506" s="677"/>
      <c r="G1506" s="677"/>
      <c r="H1506" s="872"/>
      <c r="I1506" s="871"/>
      <c r="J1506" s="871"/>
      <c r="K1506" s="870"/>
      <c r="L1506" s="870"/>
      <c r="M1506" s="870"/>
      <c r="N1506" s="870"/>
      <c r="O1506" s="870"/>
      <c r="P1506" s="870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73"/>
      <c r="E1507" s="677"/>
      <c r="F1507" s="677"/>
      <c r="G1507" s="677"/>
      <c r="H1507" s="872"/>
      <c r="I1507" s="871"/>
      <c r="J1507" s="871"/>
      <c r="K1507" s="870"/>
      <c r="L1507" s="870"/>
      <c r="M1507" s="870"/>
      <c r="N1507" s="870"/>
      <c r="O1507" s="870"/>
      <c r="P1507" s="870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73"/>
      <c r="E1508" s="677"/>
      <c r="F1508" s="677"/>
      <c r="G1508" s="677"/>
      <c r="H1508" s="872"/>
      <c r="I1508" s="871"/>
      <c r="J1508" s="871"/>
      <c r="K1508" s="870"/>
      <c r="L1508" s="870"/>
      <c r="M1508" s="870"/>
      <c r="N1508" s="870"/>
      <c r="O1508" s="870"/>
      <c r="P1508" s="870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73"/>
      <c r="E1509" s="677"/>
      <c r="F1509" s="677"/>
      <c r="G1509" s="677"/>
      <c r="H1509" s="872"/>
      <c r="I1509" s="871"/>
      <c r="J1509" s="871"/>
      <c r="K1509" s="870"/>
      <c r="L1509" s="870"/>
      <c r="M1509" s="870"/>
      <c r="N1509" s="870"/>
      <c r="O1509" s="870"/>
      <c r="P1509" s="870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73"/>
      <c r="E1510" s="677"/>
      <c r="F1510" s="677"/>
      <c r="G1510" s="677"/>
      <c r="H1510" s="872"/>
      <c r="I1510" s="871"/>
      <c r="J1510" s="871"/>
      <c r="K1510" s="870"/>
      <c r="L1510" s="870"/>
      <c r="M1510" s="870"/>
      <c r="N1510" s="870"/>
      <c r="O1510" s="870"/>
      <c r="P1510" s="870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73"/>
      <c r="E1511" s="677"/>
      <c r="F1511" s="677"/>
      <c r="G1511" s="677"/>
      <c r="H1511" s="872"/>
      <c r="I1511" s="871"/>
      <c r="J1511" s="871"/>
      <c r="K1511" s="870"/>
      <c r="L1511" s="870"/>
      <c r="M1511" s="870"/>
      <c r="N1511" s="870"/>
      <c r="O1511" s="870"/>
      <c r="P1511" s="870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73"/>
      <c r="E1512" s="677"/>
      <c r="F1512" s="677"/>
      <c r="G1512" s="677"/>
      <c r="H1512" s="872"/>
      <c r="I1512" s="871"/>
      <c r="J1512" s="871"/>
      <c r="K1512" s="870"/>
      <c r="L1512" s="870"/>
      <c r="M1512" s="870"/>
      <c r="N1512" s="870"/>
      <c r="O1512" s="870"/>
      <c r="P1512" s="870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73"/>
      <c r="E1513" s="677"/>
      <c r="F1513" s="677"/>
      <c r="G1513" s="677"/>
      <c r="H1513" s="872"/>
      <c r="I1513" s="871"/>
      <c r="J1513" s="871"/>
      <c r="K1513" s="870"/>
      <c r="L1513" s="870"/>
      <c r="M1513" s="870"/>
      <c r="N1513" s="870"/>
      <c r="O1513" s="870"/>
      <c r="P1513" s="870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73"/>
      <c r="E1514" s="677"/>
      <c r="F1514" s="677"/>
      <c r="G1514" s="677"/>
      <c r="H1514" s="872"/>
      <c r="I1514" s="871"/>
      <c r="J1514" s="871"/>
      <c r="K1514" s="870"/>
      <c r="L1514" s="870"/>
      <c r="M1514" s="870"/>
      <c r="N1514" s="870"/>
      <c r="O1514" s="870"/>
      <c r="P1514" s="870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73"/>
      <c r="E1515" s="677"/>
      <c r="F1515" s="677"/>
      <c r="G1515" s="677"/>
      <c r="H1515" s="872"/>
      <c r="I1515" s="871"/>
      <c r="J1515" s="871"/>
      <c r="K1515" s="870"/>
      <c r="L1515" s="870"/>
      <c r="M1515" s="870"/>
      <c r="N1515" s="870"/>
      <c r="O1515" s="870"/>
      <c r="P1515" s="870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73"/>
      <c r="E1516" s="677"/>
      <c r="F1516" s="677"/>
      <c r="G1516" s="677"/>
      <c r="H1516" s="872"/>
      <c r="I1516" s="871"/>
      <c r="J1516" s="871"/>
      <c r="K1516" s="870"/>
      <c r="L1516" s="870"/>
      <c r="M1516" s="870"/>
      <c r="N1516" s="870"/>
      <c r="O1516" s="870"/>
      <c r="P1516" s="870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73"/>
      <c r="E1517" s="677"/>
      <c r="F1517" s="677"/>
      <c r="G1517" s="677"/>
      <c r="H1517" s="872"/>
      <c r="I1517" s="871"/>
      <c r="J1517" s="871"/>
      <c r="K1517" s="870"/>
      <c r="L1517" s="870"/>
      <c r="M1517" s="870"/>
      <c r="N1517" s="870"/>
      <c r="O1517" s="870"/>
      <c r="P1517" s="870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73"/>
      <c r="E1518" s="677"/>
      <c r="F1518" s="677"/>
      <c r="G1518" s="677"/>
      <c r="H1518" s="872"/>
      <c r="I1518" s="871"/>
      <c r="J1518" s="871"/>
      <c r="K1518" s="870"/>
      <c r="L1518" s="870"/>
      <c r="M1518" s="870"/>
      <c r="N1518" s="870"/>
      <c r="O1518" s="870"/>
      <c r="P1518" s="870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73"/>
      <c r="E1519" s="677"/>
      <c r="F1519" s="677"/>
      <c r="G1519" s="677"/>
      <c r="H1519" s="872"/>
      <c r="I1519" s="871"/>
      <c r="J1519" s="871"/>
      <c r="K1519" s="870"/>
      <c r="L1519" s="870"/>
      <c r="M1519" s="870"/>
      <c r="N1519" s="870"/>
      <c r="O1519" s="870"/>
      <c r="P1519" s="870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73"/>
      <c r="E1520" s="677"/>
      <c r="F1520" s="677"/>
      <c r="G1520" s="677"/>
      <c r="H1520" s="872"/>
      <c r="I1520" s="871"/>
      <c r="J1520" s="871"/>
      <c r="K1520" s="870"/>
      <c r="L1520" s="870"/>
      <c r="M1520" s="870"/>
      <c r="N1520" s="870"/>
      <c r="O1520" s="870"/>
      <c r="P1520" s="870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73"/>
      <c r="E1521" s="677"/>
      <c r="F1521" s="677"/>
      <c r="G1521" s="677"/>
      <c r="H1521" s="872"/>
      <c r="I1521" s="871"/>
      <c r="J1521" s="871"/>
      <c r="K1521" s="870"/>
      <c r="L1521" s="870"/>
      <c r="M1521" s="870"/>
      <c r="N1521" s="870"/>
      <c r="O1521" s="870"/>
      <c r="P1521" s="870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73"/>
      <c r="E1522" s="677"/>
      <c r="F1522" s="677"/>
      <c r="G1522" s="677"/>
      <c r="H1522" s="872"/>
      <c r="I1522" s="871"/>
      <c r="J1522" s="871"/>
      <c r="K1522" s="870"/>
      <c r="L1522" s="870"/>
      <c r="M1522" s="870"/>
      <c r="N1522" s="870"/>
      <c r="O1522" s="870"/>
      <c r="P1522" s="870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73"/>
      <c r="E1523" s="677"/>
      <c r="F1523" s="677"/>
      <c r="G1523" s="677"/>
      <c r="H1523" s="872"/>
      <c r="I1523" s="871"/>
      <c r="J1523" s="871"/>
      <c r="K1523" s="870"/>
      <c r="L1523" s="870"/>
      <c r="M1523" s="870"/>
      <c r="N1523" s="870"/>
      <c r="O1523" s="870"/>
      <c r="P1523" s="870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73"/>
      <c r="E1524" s="677"/>
      <c r="F1524" s="677"/>
      <c r="G1524" s="677"/>
      <c r="H1524" s="872"/>
      <c r="I1524" s="871"/>
      <c r="J1524" s="871"/>
      <c r="K1524" s="870"/>
      <c r="L1524" s="870"/>
      <c r="M1524" s="870"/>
      <c r="N1524" s="870"/>
      <c r="O1524" s="870"/>
      <c r="P1524" s="870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73"/>
      <c r="E1525" s="677"/>
      <c r="F1525" s="677"/>
      <c r="G1525" s="677"/>
      <c r="H1525" s="872"/>
      <c r="I1525" s="871"/>
      <c r="J1525" s="871"/>
      <c r="K1525" s="870"/>
      <c r="L1525" s="870"/>
      <c r="M1525" s="870"/>
      <c r="N1525" s="870"/>
      <c r="O1525" s="870"/>
      <c r="P1525" s="870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73"/>
      <c r="E1526" s="677"/>
      <c r="F1526" s="677"/>
      <c r="G1526" s="677"/>
      <c r="H1526" s="872"/>
      <c r="I1526" s="871"/>
      <c r="J1526" s="871"/>
      <c r="K1526" s="870"/>
      <c r="L1526" s="870"/>
      <c r="M1526" s="870"/>
      <c r="N1526" s="870"/>
      <c r="O1526" s="870"/>
      <c r="P1526" s="870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73"/>
      <c r="E1527" s="677"/>
      <c r="F1527" s="677"/>
      <c r="G1527" s="677"/>
      <c r="H1527" s="872"/>
      <c r="I1527" s="871"/>
      <c r="J1527" s="871"/>
      <c r="K1527" s="870"/>
      <c r="L1527" s="870"/>
      <c r="M1527" s="870"/>
      <c r="N1527" s="870"/>
      <c r="O1527" s="870"/>
      <c r="P1527" s="870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73"/>
      <c r="E1528" s="677"/>
      <c r="F1528" s="677"/>
      <c r="G1528" s="677"/>
      <c r="H1528" s="872"/>
      <c r="I1528" s="871"/>
      <c r="J1528" s="871"/>
      <c r="K1528" s="870"/>
      <c r="L1528" s="870"/>
      <c r="M1528" s="870"/>
      <c r="N1528" s="870"/>
      <c r="O1528" s="870"/>
      <c r="P1528" s="870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73"/>
      <c r="E1529" s="677"/>
      <c r="F1529" s="677"/>
      <c r="G1529" s="677"/>
      <c r="H1529" s="872"/>
      <c r="I1529" s="871"/>
      <c r="J1529" s="871"/>
      <c r="K1529" s="870"/>
      <c r="L1529" s="870"/>
      <c r="M1529" s="870"/>
      <c r="N1529" s="870"/>
      <c r="O1529" s="870"/>
      <c r="P1529" s="870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73"/>
      <c r="E1530" s="677"/>
      <c r="F1530" s="677"/>
      <c r="G1530" s="677"/>
      <c r="H1530" s="872"/>
      <c r="I1530" s="871"/>
      <c r="J1530" s="871"/>
      <c r="K1530" s="870"/>
      <c r="L1530" s="870"/>
      <c r="M1530" s="870"/>
      <c r="N1530" s="870"/>
      <c r="O1530" s="870"/>
      <c r="P1530" s="870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73"/>
      <c r="E1531" s="677"/>
      <c r="F1531" s="677"/>
      <c r="G1531" s="677"/>
      <c r="H1531" s="872"/>
      <c r="I1531" s="871"/>
      <c r="J1531" s="871"/>
      <c r="K1531" s="870"/>
      <c r="L1531" s="870"/>
      <c r="M1531" s="870"/>
      <c r="N1531" s="870"/>
      <c r="O1531" s="870"/>
      <c r="P1531" s="870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73"/>
      <c r="E1532" s="677"/>
      <c r="F1532" s="677"/>
      <c r="G1532" s="677"/>
      <c r="H1532" s="872"/>
      <c r="I1532" s="871"/>
      <c r="J1532" s="871"/>
      <c r="K1532" s="870"/>
      <c r="L1532" s="870"/>
      <c r="M1532" s="870"/>
      <c r="N1532" s="870"/>
      <c r="O1532" s="870"/>
      <c r="P1532" s="870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73"/>
      <c r="E1533" s="677"/>
      <c r="F1533" s="677"/>
      <c r="G1533" s="677"/>
      <c r="H1533" s="872"/>
      <c r="I1533" s="871"/>
      <c r="J1533" s="871"/>
      <c r="K1533" s="870"/>
      <c r="L1533" s="870"/>
      <c r="M1533" s="870"/>
      <c r="N1533" s="870"/>
      <c r="O1533" s="870"/>
      <c r="P1533" s="870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73"/>
      <c r="E1534" s="677"/>
      <c r="F1534" s="677"/>
      <c r="G1534" s="677"/>
      <c r="H1534" s="872"/>
      <c r="I1534" s="871"/>
      <c r="J1534" s="871"/>
      <c r="K1534" s="870"/>
      <c r="L1534" s="870"/>
      <c r="M1534" s="870"/>
      <c r="N1534" s="870"/>
      <c r="O1534" s="870"/>
      <c r="P1534" s="870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73"/>
      <c r="E1535" s="677"/>
      <c r="F1535" s="677"/>
      <c r="G1535" s="677"/>
      <c r="H1535" s="872"/>
      <c r="I1535" s="871"/>
      <c r="J1535" s="871"/>
      <c r="K1535" s="870"/>
      <c r="L1535" s="870"/>
      <c r="M1535" s="870"/>
      <c r="N1535" s="870"/>
      <c r="O1535" s="870"/>
      <c r="P1535" s="870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73"/>
      <c r="E1536" s="677"/>
      <c r="F1536" s="677"/>
      <c r="G1536" s="677"/>
      <c r="H1536" s="872"/>
      <c r="I1536" s="871"/>
      <c r="J1536" s="871"/>
      <c r="K1536" s="870"/>
      <c r="L1536" s="870"/>
      <c r="M1536" s="870"/>
      <c r="N1536" s="870"/>
      <c r="O1536" s="870"/>
      <c r="P1536" s="870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73"/>
      <c r="E1537" s="677"/>
      <c r="F1537" s="677"/>
      <c r="G1537" s="677"/>
      <c r="H1537" s="872"/>
      <c r="I1537" s="871"/>
      <c r="J1537" s="871"/>
      <c r="K1537" s="870"/>
      <c r="L1537" s="870"/>
      <c r="M1537" s="870"/>
      <c r="N1537" s="870"/>
      <c r="O1537" s="870"/>
      <c r="P1537" s="870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73"/>
      <c r="E1538" s="677"/>
      <c r="F1538" s="677"/>
      <c r="G1538" s="677"/>
      <c r="H1538" s="872"/>
      <c r="I1538" s="871"/>
      <c r="J1538" s="871"/>
      <c r="K1538" s="870"/>
      <c r="L1538" s="870"/>
      <c r="M1538" s="870"/>
      <c r="N1538" s="870"/>
      <c r="O1538" s="870"/>
      <c r="P1538" s="870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73"/>
      <c r="E1539" s="677"/>
      <c r="F1539" s="677"/>
      <c r="G1539" s="677"/>
      <c r="H1539" s="872"/>
      <c r="I1539" s="871"/>
      <c r="J1539" s="871"/>
      <c r="K1539" s="870"/>
      <c r="L1539" s="870"/>
      <c r="M1539" s="870"/>
      <c r="N1539" s="870"/>
      <c r="O1539" s="870"/>
      <c r="P1539" s="870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73"/>
      <c r="E1540" s="677"/>
      <c r="F1540" s="677"/>
      <c r="G1540" s="677"/>
      <c r="H1540" s="872"/>
      <c r="I1540" s="871"/>
      <c r="J1540" s="871"/>
      <c r="K1540" s="870"/>
      <c r="L1540" s="870"/>
      <c r="M1540" s="870"/>
      <c r="N1540" s="870"/>
      <c r="O1540" s="870"/>
      <c r="P1540" s="870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73"/>
      <c r="E1541" s="677"/>
      <c r="F1541" s="677"/>
      <c r="G1541" s="677"/>
      <c r="H1541" s="872"/>
      <c r="I1541" s="871"/>
      <c r="J1541" s="871"/>
      <c r="K1541" s="870"/>
      <c r="L1541" s="870"/>
      <c r="M1541" s="870"/>
      <c r="N1541" s="870"/>
      <c r="O1541" s="870"/>
      <c r="P1541" s="870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73"/>
      <c r="E1542" s="677"/>
      <c r="F1542" s="677"/>
      <c r="G1542" s="677"/>
      <c r="H1542" s="872"/>
      <c r="I1542" s="871"/>
      <c r="J1542" s="871"/>
      <c r="K1542" s="870"/>
      <c r="L1542" s="870"/>
      <c r="M1542" s="870"/>
      <c r="N1542" s="870"/>
      <c r="O1542" s="870"/>
      <c r="P1542" s="870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73"/>
      <c r="E1543" s="677"/>
      <c r="F1543" s="677"/>
      <c r="G1543" s="677"/>
      <c r="H1543" s="872"/>
      <c r="I1543" s="871"/>
      <c r="J1543" s="871"/>
      <c r="K1543" s="870"/>
      <c r="L1543" s="870"/>
      <c r="M1543" s="870"/>
      <c r="N1543" s="870"/>
      <c r="O1543" s="870"/>
      <c r="P1543" s="870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73"/>
      <c r="E1544" s="677"/>
      <c r="F1544" s="677"/>
      <c r="G1544" s="677"/>
      <c r="H1544" s="872"/>
      <c r="I1544" s="871"/>
      <c r="J1544" s="871"/>
      <c r="K1544" s="870"/>
      <c r="L1544" s="870"/>
      <c r="M1544" s="870"/>
      <c r="N1544" s="870"/>
      <c r="O1544" s="870"/>
      <c r="P1544" s="870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73"/>
      <c r="E1545" s="677"/>
      <c r="F1545" s="677"/>
      <c r="G1545" s="677"/>
      <c r="H1545" s="872"/>
      <c r="I1545" s="871"/>
      <c r="J1545" s="871"/>
      <c r="K1545" s="870"/>
      <c r="L1545" s="870"/>
      <c r="M1545" s="870"/>
      <c r="N1545" s="870"/>
      <c r="O1545" s="870"/>
      <c r="P1545" s="870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73"/>
      <c r="E1546" s="677"/>
      <c r="F1546" s="677"/>
      <c r="G1546" s="677"/>
      <c r="H1546" s="872"/>
      <c r="I1546" s="871"/>
      <c r="J1546" s="871"/>
      <c r="K1546" s="870"/>
      <c r="L1546" s="870"/>
      <c r="M1546" s="870"/>
      <c r="N1546" s="870"/>
      <c r="O1546" s="870"/>
      <c r="P1546" s="870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73"/>
      <c r="E1547" s="677"/>
      <c r="F1547" s="677"/>
      <c r="G1547" s="677"/>
      <c r="H1547" s="872"/>
      <c r="I1547" s="871"/>
      <c r="J1547" s="871"/>
      <c r="K1547" s="870"/>
      <c r="L1547" s="870"/>
      <c r="M1547" s="870"/>
      <c r="N1547" s="870"/>
      <c r="O1547" s="870"/>
      <c r="P1547" s="870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73"/>
      <c r="E1548" s="677"/>
      <c r="F1548" s="677"/>
      <c r="G1548" s="677"/>
      <c r="H1548" s="872"/>
      <c r="I1548" s="871"/>
      <c r="J1548" s="871"/>
      <c r="K1548" s="870"/>
      <c r="L1548" s="870"/>
      <c r="M1548" s="870"/>
      <c r="N1548" s="870"/>
      <c r="O1548" s="870"/>
      <c r="P1548" s="870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73"/>
      <c r="E1549" s="677"/>
      <c r="F1549" s="677"/>
      <c r="G1549" s="677"/>
      <c r="H1549" s="872"/>
      <c r="I1549" s="871"/>
      <c r="J1549" s="871"/>
      <c r="K1549" s="870"/>
      <c r="L1549" s="870"/>
      <c r="M1549" s="870"/>
      <c r="N1549" s="870"/>
      <c r="O1549" s="870"/>
      <c r="P1549" s="870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73"/>
      <c r="E1550" s="677"/>
      <c r="F1550" s="677"/>
      <c r="G1550" s="677"/>
      <c r="H1550" s="872"/>
      <c r="I1550" s="871"/>
      <c r="J1550" s="871"/>
      <c r="K1550" s="870"/>
      <c r="L1550" s="870"/>
      <c r="M1550" s="870"/>
      <c r="N1550" s="870"/>
      <c r="O1550" s="870"/>
      <c r="P1550" s="870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73"/>
      <c r="E1551" s="677"/>
      <c r="F1551" s="677"/>
      <c r="G1551" s="677"/>
      <c r="H1551" s="872"/>
      <c r="I1551" s="871"/>
      <c r="J1551" s="871"/>
      <c r="K1551" s="870"/>
      <c r="L1551" s="870"/>
      <c r="M1551" s="870"/>
      <c r="N1551" s="870"/>
      <c r="O1551" s="870"/>
      <c r="P1551" s="870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73"/>
      <c r="E1552" s="677"/>
      <c r="F1552" s="677"/>
      <c r="G1552" s="677"/>
      <c r="H1552" s="872"/>
      <c r="I1552" s="871"/>
      <c r="J1552" s="871"/>
      <c r="K1552" s="870"/>
      <c r="L1552" s="870"/>
      <c r="M1552" s="870"/>
      <c r="N1552" s="870"/>
      <c r="O1552" s="870"/>
      <c r="P1552" s="870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73"/>
      <c r="E1553" s="677"/>
      <c r="F1553" s="677"/>
      <c r="G1553" s="677"/>
      <c r="H1553" s="872"/>
      <c r="I1553" s="871"/>
      <c r="J1553" s="871"/>
      <c r="K1553" s="870"/>
      <c r="L1553" s="870"/>
      <c r="M1553" s="870"/>
      <c r="N1553" s="870"/>
      <c r="O1553" s="870"/>
      <c r="P1553" s="870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73"/>
      <c r="E1554" s="677"/>
      <c r="F1554" s="677"/>
      <c r="G1554" s="677"/>
      <c r="H1554" s="872"/>
      <c r="I1554" s="871"/>
      <c r="J1554" s="871"/>
      <c r="K1554" s="870"/>
      <c r="L1554" s="870"/>
      <c r="M1554" s="870"/>
      <c r="N1554" s="870"/>
      <c r="O1554" s="870"/>
      <c r="P1554" s="870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73"/>
      <c r="E1555" s="677"/>
      <c r="F1555" s="677"/>
      <c r="G1555" s="677"/>
      <c r="H1555" s="872"/>
      <c r="I1555" s="871"/>
      <c r="J1555" s="871"/>
      <c r="K1555" s="870"/>
      <c r="L1555" s="870"/>
      <c r="M1555" s="870"/>
      <c r="N1555" s="870"/>
      <c r="O1555" s="870"/>
      <c r="P1555" s="870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73"/>
      <c r="E1556" s="677"/>
      <c r="F1556" s="677"/>
      <c r="G1556" s="677"/>
      <c r="H1556" s="872"/>
      <c r="I1556" s="871"/>
      <c r="J1556" s="871"/>
      <c r="K1556" s="870"/>
      <c r="L1556" s="870"/>
      <c r="M1556" s="870"/>
      <c r="N1556" s="870"/>
      <c r="O1556" s="870"/>
      <c r="P1556" s="870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73"/>
      <c r="E1557" s="677"/>
      <c r="F1557" s="677"/>
      <c r="G1557" s="677"/>
      <c r="H1557" s="872"/>
      <c r="I1557" s="871"/>
      <c r="J1557" s="871"/>
      <c r="K1557" s="870"/>
      <c r="L1557" s="870"/>
      <c r="M1557" s="870"/>
      <c r="N1557" s="870"/>
      <c r="O1557" s="870"/>
      <c r="P1557" s="870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73"/>
      <c r="E1558" s="677"/>
      <c r="F1558" s="677"/>
      <c r="G1558" s="677"/>
      <c r="H1558" s="872"/>
      <c r="I1558" s="871"/>
      <c r="J1558" s="871"/>
      <c r="K1558" s="870"/>
      <c r="L1558" s="870"/>
      <c r="M1558" s="870"/>
      <c r="N1558" s="870"/>
      <c r="O1558" s="870"/>
      <c r="P1558" s="870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73"/>
      <c r="E1559" s="677"/>
      <c r="F1559" s="677"/>
      <c r="G1559" s="677"/>
      <c r="H1559" s="872"/>
      <c r="I1559" s="871"/>
      <c r="J1559" s="871"/>
      <c r="K1559" s="870"/>
      <c r="L1559" s="870"/>
      <c r="M1559" s="870"/>
      <c r="N1559" s="870"/>
      <c r="O1559" s="870"/>
      <c r="P1559" s="870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73"/>
      <c r="E1560" s="677"/>
      <c r="F1560" s="677"/>
      <c r="G1560" s="677"/>
      <c r="H1560" s="872"/>
      <c r="I1560" s="871"/>
      <c r="J1560" s="871"/>
      <c r="K1560" s="870"/>
      <c r="L1560" s="870"/>
      <c r="M1560" s="870"/>
      <c r="N1560" s="870"/>
      <c r="O1560" s="870"/>
      <c r="P1560" s="870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73"/>
      <c r="E1561" s="677"/>
      <c r="F1561" s="677"/>
      <c r="G1561" s="677"/>
      <c r="H1561" s="872"/>
      <c r="I1561" s="871"/>
      <c r="J1561" s="871"/>
      <c r="K1561" s="870"/>
      <c r="L1561" s="870"/>
      <c r="M1561" s="870"/>
      <c r="N1561" s="870"/>
      <c r="O1561" s="870"/>
      <c r="P1561" s="870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73"/>
      <c r="E1562" s="677"/>
      <c r="F1562" s="677"/>
      <c r="G1562" s="677"/>
      <c r="H1562" s="872"/>
      <c r="I1562" s="871"/>
      <c r="J1562" s="871"/>
      <c r="K1562" s="870"/>
      <c r="L1562" s="870"/>
      <c r="M1562" s="870"/>
      <c r="N1562" s="870"/>
      <c r="O1562" s="870"/>
      <c r="P1562" s="870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73"/>
      <c r="E1563" s="677"/>
      <c r="F1563" s="677"/>
      <c r="G1563" s="677"/>
      <c r="H1563" s="872"/>
      <c r="I1563" s="871"/>
      <c r="J1563" s="871"/>
      <c r="K1563" s="870"/>
      <c r="L1563" s="870"/>
      <c r="M1563" s="870"/>
      <c r="N1563" s="870"/>
      <c r="O1563" s="870"/>
      <c r="P1563" s="870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73"/>
      <c r="E1564" s="677"/>
      <c r="F1564" s="677"/>
      <c r="G1564" s="677"/>
      <c r="H1564" s="872"/>
      <c r="I1564" s="871"/>
      <c r="J1564" s="871"/>
      <c r="K1564" s="870"/>
      <c r="L1564" s="870"/>
      <c r="M1564" s="870"/>
      <c r="N1564" s="870"/>
      <c r="O1564" s="870"/>
      <c r="P1564" s="870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73"/>
      <c r="E1565" s="677"/>
      <c r="F1565" s="677"/>
      <c r="G1565" s="677"/>
      <c r="H1565" s="872"/>
      <c r="I1565" s="871"/>
      <c r="J1565" s="871"/>
      <c r="K1565" s="870"/>
      <c r="L1565" s="870"/>
      <c r="M1565" s="870"/>
      <c r="N1565" s="870"/>
      <c r="O1565" s="870"/>
      <c r="P1565" s="870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73"/>
      <c r="E1566" s="677"/>
      <c r="F1566" s="677"/>
      <c r="G1566" s="677"/>
      <c r="H1566" s="872"/>
      <c r="I1566" s="871"/>
      <c r="J1566" s="871"/>
      <c r="K1566" s="870"/>
      <c r="L1566" s="870"/>
      <c r="M1566" s="870"/>
      <c r="N1566" s="870"/>
      <c r="O1566" s="870"/>
      <c r="P1566" s="870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73"/>
      <c r="E1567" s="677"/>
      <c r="F1567" s="677"/>
      <c r="G1567" s="677"/>
      <c r="H1567" s="872"/>
      <c r="I1567" s="871"/>
      <c r="J1567" s="871"/>
      <c r="K1567" s="870"/>
      <c r="L1567" s="870"/>
      <c r="M1567" s="870"/>
      <c r="N1567" s="870"/>
      <c r="O1567" s="870"/>
      <c r="P1567" s="870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73"/>
      <c r="E1568" s="677"/>
      <c r="F1568" s="677"/>
      <c r="G1568" s="677"/>
      <c r="H1568" s="872"/>
      <c r="I1568" s="871"/>
      <c r="J1568" s="871"/>
      <c r="K1568" s="870"/>
      <c r="L1568" s="870"/>
      <c r="M1568" s="870"/>
      <c r="N1568" s="870"/>
      <c r="O1568" s="870"/>
      <c r="P1568" s="870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73"/>
      <c r="E1569" s="677"/>
      <c r="F1569" s="677"/>
      <c r="G1569" s="677"/>
      <c r="H1569" s="872"/>
      <c r="I1569" s="871"/>
      <c r="J1569" s="871"/>
      <c r="K1569" s="870"/>
      <c r="L1569" s="870"/>
      <c r="M1569" s="870"/>
      <c r="N1569" s="870"/>
      <c r="O1569" s="870"/>
      <c r="P1569" s="870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73"/>
      <c r="E1570" s="677"/>
      <c r="F1570" s="677"/>
      <c r="G1570" s="677"/>
      <c r="H1570" s="872"/>
      <c r="I1570" s="871"/>
      <c r="J1570" s="871"/>
      <c r="K1570" s="870"/>
      <c r="L1570" s="870"/>
      <c r="M1570" s="870"/>
      <c r="N1570" s="870"/>
      <c r="O1570" s="870"/>
      <c r="P1570" s="870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73"/>
      <c r="E1571" s="677"/>
      <c r="F1571" s="677"/>
      <c r="G1571" s="677"/>
      <c r="H1571" s="872"/>
      <c r="I1571" s="871"/>
      <c r="J1571" s="871"/>
      <c r="K1571" s="870"/>
      <c r="L1571" s="870"/>
      <c r="M1571" s="870"/>
      <c r="N1571" s="870"/>
      <c r="O1571" s="870"/>
      <c r="P1571" s="870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73"/>
      <c r="E1572" s="677"/>
      <c r="F1572" s="677"/>
      <c r="G1572" s="677"/>
      <c r="H1572" s="872"/>
      <c r="I1572" s="871"/>
      <c r="J1572" s="871"/>
      <c r="K1572" s="870"/>
      <c r="L1572" s="870"/>
      <c r="M1572" s="870"/>
      <c r="N1572" s="870"/>
      <c r="O1572" s="870"/>
      <c r="P1572" s="870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73"/>
      <c r="E1573" s="677"/>
      <c r="F1573" s="677"/>
      <c r="G1573" s="677"/>
      <c r="H1573" s="872"/>
      <c r="I1573" s="871"/>
      <c r="J1573" s="871"/>
      <c r="K1573" s="870"/>
      <c r="L1573" s="870"/>
      <c r="M1573" s="870"/>
      <c r="N1573" s="870"/>
      <c r="O1573" s="870"/>
      <c r="P1573" s="870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73"/>
      <c r="E1574" s="677"/>
      <c r="F1574" s="677"/>
      <c r="G1574" s="677"/>
      <c r="H1574" s="872"/>
      <c r="I1574" s="871"/>
      <c r="J1574" s="871"/>
      <c r="K1574" s="870"/>
      <c r="L1574" s="870"/>
      <c r="M1574" s="870"/>
      <c r="N1574" s="870"/>
      <c r="O1574" s="870"/>
      <c r="P1574" s="870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73"/>
      <c r="E1575" s="677"/>
      <c r="F1575" s="677"/>
      <c r="G1575" s="677"/>
      <c r="H1575" s="872"/>
      <c r="I1575" s="871"/>
      <c r="J1575" s="871"/>
      <c r="K1575" s="870"/>
      <c r="L1575" s="870"/>
      <c r="M1575" s="870"/>
      <c r="N1575" s="870"/>
      <c r="O1575" s="870"/>
      <c r="P1575" s="870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73"/>
      <c r="E1576" s="677"/>
      <c r="F1576" s="677"/>
      <c r="G1576" s="677"/>
      <c r="H1576" s="872"/>
      <c r="I1576" s="871"/>
      <c r="J1576" s="871"/>
      <c r="K1576" s="870"/>
      <c r="L1576" s="870"/>
      <c r="M1576" s="870"/>
      <c r="N1576" s="870"/>
      <c r="O1576" s="870"/>
      <c r="P1576" s="870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73"/>
      <c r="E1577" s="677"/>
      <c r="F1577" s="677"/>
      <c r="G1577" s="677"/>
      <c r="H1577" s="872"/>
      <c r="I1577" s="871"/>
      <c r="J1577" s="871"/>
      <c r="K1577" s="870"/>
      <c r="L1577" s="870"/>
      <c r="M1577" s="870"/>
      <c r="N1577" s="870"/>
      <c r="O1577" s="870"/>
      <c r="P1577" s="870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73"/>
      <c r="E1578" s="677"/>
      <c r="F1578" s="677"/>
      <c r="G1578" s="677"/>
      <c r="H1578" s="872"/>
      <c r="I1578" s="871"/>
      <c r="J1578" s="871"/>
      <c r="K1578" s="870"/>
      <c r="L1578" s="870"/>
      <c r="M1578" s="870"/>
      <c r="N1578" s="870"/>
      <c r="O1578" s="870"/>
      <c r="P1578" s="870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73"/>
      <c r="E1579" s="677"/>
      <c r="F1579" s="677"/>
      <c r="G1579" s="677"/>
      <c r="H1579" s="872"/>
      <c r="I1579" s="871"/>
      <c r="J1579" s="871"/>
      <c r="K1579" s="870"/>
      <c r="L1579" s="870"/>
      <c r="M1579" s="870"/>
      <c r="N1579" s="870"/>
      <c r="O1579" s="870"/>
      <c r="P1579" s="870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73"/>
      <c r="E1580" s="677"/>
      <c r="F1580" s="677"/>
      <c r="G1580" s="677"/>
      <c r="H1580" s="872"/>
      <c r="I1580" s="871"/>
      <c r="J1580" s="871"/>
      <c r="K1580" s="870"/>
      <c r="L1580" s="870"/>
      <c r="M1580" s="870"/>
      <c r="N1580" s="870"/>
      <c r="O1580" s="870"/>
      <c r="P1580" s="870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73"/>
      <c r="E1581" s="677"/>
      <c r="F1581" s="677"/>
      <c r="G1581" s="677"/>
      <c r="H1581" s="872"/>
      <c r="I1581" s="871"/>
      <c r="J1581" s="871"/>
      <c r="K1581" s="870"/>
      <c r="L1581" s="870"/>
      <c r="M1581" s="870"/>
      <c r="N1581" s="870"/>
      <c r="O1581" s="870"/>
      <c r="P1581" s="870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73"/>
      <c r="E1582" s="677"/>
      <c r="F1582" s="677"/>
      <c r="G1582" s="677"/>
      <c r="H1582" s="872"/>
      <c r="I1582" s="871"/>
      <c r="J1582" s="871"/>
      <c r="K1582" s="870"/>
      <c r="L1582" s="870"/>
      <c r="M1582" s="870"/>
      <c r="N1582" s="870"/>
      <c r="O1582" s="870"/>
      <c r="P1582" s="870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73"/>
      <c r="E1583" s="677"/>
      <c r="F1583" s="677"/>
      <c r="G1583" s="677"/>
      <c r="H1583" s="872"/>
      <c r="I1583" s="871"/>
      <c r="J1583" s="871"/>
      <c r="K1583" s="870"/>
      <c r="L1583" s="870"/>
      <c r="M1583" s="870"/>
      <c r="N1583" s="870"/>
      <c r="O1583" s="870"/>
      <c r="P1583" s="870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73"/>
      <c r="E1584" s="677"/>
      <c r="F1584" s="677"/>
      <c r="G1584" s="677"/>
      <c r="H1584" s="872"/>
      <c r="I1584" s="871"/>
      <c r="J1584" s="871"/>
      <c r="K1584" s="870"/>
      <c r="L1584" s="870"/>
      <c r="M1584" s="870"/>
      <c r="N1584" s="870"/>
      <c r="O1584" s="870"/>
      <c r="P1584" s="870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73"/>
      <c r="E1585" s="677"/>
      <c r="F1585" s="677"/>
      <c r="G1585" s="677"/>
      <c r="H1585" s="872"/>
      <c r="I1585" s="871"/>
      <c r="J1585" s="871"/>
      <c r="K1585" s="870"/>
      <c r="L1585" s="870"/>
      <c r="M1585" s="870"/>
      <c r="N1585" s="870"/>
      <c r="O1585" s="870"/>
      <c r="P1585" s="870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73"/>
      <c r="E1586" s="677"/>
      <c r="F1586" s="677"/>
      <c r="G1586" s="677"/>
      <c r="H1586" s="872"/>
      <c r="I1586" s="871"/>
      <c r="J1586" s="871"/>
      <c r="K1586" s="870"/>
      <c r="L1586" s="870"/>
      <c r="M1586" s="870"/>
      <c r="N1586" s="870"/>
      <c r="O1586" s="870"/>
      <c r="P1586" s="870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73"/>
      <c r="E1587" s="677"/>
      <c r="F1587" s="677"/>
      <c r="G1587" s="677"/>
      <c r="H1587" s="872"/>
      <c r="I1587" s="871"/>
      <c r="J1587" s="871"/>
      <c r="K1587" s="870"/>
      <c r="L1587" s="870"/>
      <c r="M1587" s="870"/>
      <c r="N1587" s="870"/>
      <c r="O1587" s="870"/>
      <c r="P1587" s="870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73"/>
      <c r="E1588" s="677"/>
      <c r="F1588" s="677"/>
      <c r="G1588" s="677"/>
      <c r="H1588" s="872"/>
      <c r="I1588" s="871"/>
      <c r="J1588" s="871"/>
      <c r="K1588" s="870"/>
      <c r="L1588" s="870"/>
      <c r="M1588" s="870"/>
      <c r="N1588" s="870"/>
      <c r="O1588" s="870"/>
      <c r="P1588" s="870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73"/>
      <c r="E1589" s="677"/>
      <c r="F1589" s="677"/>
      <c r="G1589" s="677"/>
      <c r="H1589" s="872"/>
      <c r="I1589" s="871"/>
      <c r="J1589" s="871"/>
      <c r="K1589" s="870"/>
      <c r="L1589" s="870"/>
      <c r="M1589" s="870"/>
      <c r="N1589" s="870"/>
      <c r="O1589" s="870"/>
      <c r="P1589" s="870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73"/>
      <c r="E1590" s="677"/>
      <c r="F1590" s="677"/>
      <c r="G1590" s="677"/>
      <c r="H1590" s="872"/>
      <c r="I1590" s="871"/>
      <c r="J1590" s="871"/>
      <c r="K1590" s="870"/>
      <c r="L1590" s="870"/>
      <c r="M1590" s="870"/>
      <c r="N1590" s="870"/>
      <c r="O1590" s="870"/>
      <c r="P1590" s="870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73"/>
      <c r="E1591" s="677"/>
      <c r="F1591" s="677"/>
      <c r="G1591" s="677"/>
      <c r="H1591" s="872"/>
      <c r="I1591" s="871"/>
      <c r="J1591" s="871"/>
      <c r="K1591" s="870"/>
      <c r="L1591" s="870"/>
      <c r="M1591" s="870"/>
      <c r="N1591" s="870"/>
      <c r="O1591" s="870"/>
      <c r="P1591" s="870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73"/>
      <c r="E1592" s="677"/>
      <c r="F1592" s="677"/>
      <c r="G1592" s="677"/>
      <c r="H1592" s="872"/>
      <c r="I1592" s="871"/>
      <c r="J1592" s="871"/>
      <c r="K1592" s="870"/>
      <c r="L1592" s="870"/>
      <c r="M1592" s="870"/>
      <c r="N1592" s="870"/>
      <c r="O1592" s="870"/>
      <c r="P1592" s="870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73"/>
      <c r="E1593" s="677"/>
      <c r="F1593" s="677"/>
      <c r="G1593" s="677"/>
      <c r="H1593" s="872"/>
      <c r="I1593" s="871"/>
      <c r="J1593" s="871"/>
      <c r="K1593" s="870"/>
      <c r="L1593" s="870"/>
      <c r="M1593" s="870"/>
      <c r="N1593" s="870"/>
      <c r="O1593" s="870"/>
      <c r="P1593" s="870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73"/>
      <c r="E1594" s="677"/>
      <c r="F1594" s="677"/>
      <c r="G1594" s="677"/>
      <c r="H1594" s="872"/>
      <c r="I1594" s="871"/>
      <c r="J1594" s="871"/>
      <c r="K1594" s="870"/>
      <c r="L1594" s="870"/>
      <c r="M1594" s="870"/>
      <c r="N1594" s="870"/>
      <c r="O1594" s="870"/>
      <c r="P1594" s="870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73"/>
      <c r="E1595" s="677"/>
      <c r="F1595" s="677"/>
      <c r="G1595" s="677"/>
      <c r="H1595" s="872"/>
      <c r="I1595" s="871"/>
      <c r="J1595" s="871"/>
      <c r="K1595" s="870"/>
      <c r="L1595" s="870"/>
      <c r="M1595" s="870"/>
      <c r="N1595" s="870"/>
      <c r="O1595" s="870"/>
      <c r="P1595" s="870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73"/>
      <c r="E1596" s="677"/>
      <c r="F1596" s="677"/>
      <c r="G1596" s="677"/>
      <c r="H1596" s="872"/>
      <c r="I1596" s="871"/>
      <c r="J1596" s="871"/>
      <c r="K1596" s="870"/>
      <c r="L1596" s="870"/>
      <c r="M1596" s="870"/>
      <c r="N1596" s="870"/>
      <c r="O1596" s="870"/>
      <c r="P1596" s="870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73"/>
      <c r="E1597" s="677"/>
      <c r="F1597" s="677"/>
      <c r="G1597" s="677"/>
      <c r="H1597" s="872"/>
      <c r="I1597" s="871"/>
      <c r="J1597" s="871"/>
      <c r="K1597" s="870"/>
      <c r="L1597" s="870"/>
      <c r="M1597" s="870"/>
      <c r="N1597" s="870"/>
      <c r="O1597" s="870"/>
      <c r="P1597" s="870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73"/>
      <c r="E1598" s="677"/>
      <c r="F1598" s="677"/>
      <c r="G1598" s="677"/>
      <c r="H1598" s="872"/>
      <c r="I1598" s="871"/>
      <c r="J1598" s="871"/>
      <c r="K1598" s="870"/>
      <c r="L1598" s="870"/>
      <c r="M1598" s="870"/>
      <c r="N1598" s="870"/>
      <c r="O1598" s="870"/>
      <c r="P1598" s="870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73"/>
      <c r="E1599" s="677"/>
      <c r="F1599" s="677"/>
      <c r="G1599" s="677"/>
      <c r="H1599" s="872"/>
      <c r="I1599" s="871"/>
      <c r="J1599" s="871"/>
      <c r="K1599" s="870"/>
      <c r="L1599" s="870"/>
      <c r="M1599" s="870"/>
      <c r="N1599" s="870"/>
      <c r="O1599" s="870"/>
      <c r="P1599" s="870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73"/>
      <c r="E1600" s="677"/>
      <c r="F1600" s="677"/>
      <c r="G1600" s="677"/>
      <c r="H1600" s="872"/>
      <c r="I1600" s="871"/>
      <c r="J1600" s="871"/>
      <c r="K1600" s="870"/>
      <c r="L1600" s="870"/>
      <c r="M1600" s="870"/>
      <c r="N1600" s="870"/>
      <c r="O1600" s="870"/>
      <c r="P1600" s="870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73"/>
      <c r="E1601" s="677"/>
      <c r="F1601" s="677"/>
      <c r="G1601" s="677"/>
      <c r="H1601" s="872"/>
      <c r="I1601" s="871"/>
      <c r="J1601" s="871"/>
      <c r="K1601" s="870"/>
      <c r="L1601" s="870"/>
      <c r="M1601" s="870"/>
      <c r="N1601" s="870"/>
      <c r="O1601" s="870"/>
      <c r="P1601" s="870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73"/>
      <c r="E1602" s="677"/>
      <c r="F1602" s="677"/>
      <c r="G1602" s="677"/>
      <c r="H1602" s="872"/>
      <c r="I1602" s="871"/>
      <c r="J1602" s="871"/>
      <c r="K1602" s="870"/>
      <c r="L1602" s="870"/>
      <c r="M1602" s="870"/>
      <c r="N1602" s="870"/>
      <c r="O1602" s="870"/>
      <c r="P1602" s="870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73"/>
      <c r="E1603" s="677"/>
      <c r="F1603" s="677"/>
      <c r="G1603" s="677"/>
      <c r="H1603" s="872"/>
      <c r="I1603" s="871"/>
      <c r="J1603" s="871"/>
      <c r="K1603" s="870"/>
      <c r="L1603" s="870"/>
      <c r="M1603" s="870"/>
      <c r="N1603" s="870"/>
      <c r="O1603" s="870"/>
      <c r="P1603" s="870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73"/>
      <c r="E1604" s="677"/>
      <c r="F1604" s="677"/>
      <c r="G1604" s="677"/>
      <c r="H1604" s="872"/>
      <c r="I1604" s="871"/>
      <c r="J1604" s="871"/>
      <c r="K1604" s="870"/>
      <c r="L1604" s="870"/>
      <c r="M1604" s="870"/>
      <c r="N1604" s="870"/>
      <c r="O1604" s="870"/>
      <c r="P1604" s="870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73"/>
      <c r="E1605" s="677"/>
      <c r="F1605" s="677"/>
      <c r="G1605" s="677"/>
      <c r="H1605" s="872"/>
      <c r="I1605" s="871"/>
      <c r="J1605" s="871"/>
      <c r="K1605" s="870"/>
      <c r="L1605" s="870"/>
      <c r="M1605" s="870"/>
      <c r="N1605" s="870"/>
      <c r="O1605" s="870"/>
      <c r="P1605" s="870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73"/>
      <c r="E1606" s="677"/>
      <c r="F1606" s="677"/>
      <c r="G1606" s="677"/>
      <c r="H1606" s="872"/>
      <c r="I1606" s="871"/>
      <c r="J1606" s="871"/>
      <c r="K1606" s="870"/>
      <c r="L1606" s="870"/>
      <c r="M1606" s="870"/>
      <c r="N1606" s="870"/>
      <c r="O1606" s="870"/>
      <c r="P1606" s="870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73"/>
      <c r="E1607" s="677"/>
      <c r="F1607" s="677"/>
      <c r="G1607" s="677"/>
      <c r="H1607" s="872"/>
      <c r="I1607" s="871"/>
      <c r="J1607" s="871"/>
      <c r="K1607" s="870"/>
      <c r="L1607" s="870"/>
      <c r="M1607" s="870"/>
      <c r="N1607" s="870"/>
      <c r="O1607" s="870"/>
      <c r="P1607" s="870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73"/>
      <c r="E1608" s="677"/>
      <c r="F1608" s="677"/>
      <c r="G1608" s="677"/>
      <c r="H1608" s="872"/>
      <c r="I1608" s="871"/>
      <c r="J1608" s="871"/>
      <c r="K1608" s="870"/>
      <c r="L1608" s="870"/>
      <c r="M1608" s="870"/>
      <c r="N1608" s="870"/>
      <c r="O1608" s="870"/>
      <c r="P1608" s="870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73"/>
      <c r="E1609" s="677"/>
      <c r="F1609" s="677"/>
      <c r="G1609" s="677"/>
      <c r="H1609" s="872"/>
      <c r="I1609" s="871"/>
      <c r="J1609" s="871"/>
      <c r="K1609" s="870"/>
      <c r="L1609" s="870"/>
      <c r="M1609" s="870"/>
      <c r="N1609" s="870"/>
      <c r="O1609" s="870"/>
      <c r="P1609" s="870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73"/>
      <c r="E1610" s="677"/>
      <c r="F1610" s="677"/>
      <c r="G1610" s="677"/>
      <c r="H1610" s="872"/>
      <c r="I1610" s="871"/>
      <c r="J1610" s="871"/>
      <c r="K1610" s="870"/>
      <c r="L1610" s="870"/>
      <c r="M1610" s="870"/>
      <c r="N1610" s="870"/>
      <c r="O1610" s="870"/>
      <c r="P1610" s="870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73"/>
      <c r="E1611" s="677"/>
      <c r="F1611" s="677"/>
      <c r="G1611" s="677"/>
      <c r="H1611" s="872"/>
      <c r="I1611" s="871"/>
      <c r="J1611" s="871"/>
      <c r="K1611" s="870"/>
      <c r="L1611" s="870"/>
      <c r="M1611" s="870"/>
      <c r="N1611" s="870"/>
      <c r="O1611" s="870"/>
      <c r="P1611" s="870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73"/>
      <c r="E1612" s="677"/>
      <c r="F1612" s="677"/>
      <c r="G1612" s="677"/>
      <c r="H1612" s="872"/>
      <c r="I1612" s="871"/>
      <c r="J1612" s="871"/>
      <c r="K1612" s="870"/>
      <c r="L1612" s="870"/>
      <c r="M1612" s="870"/>
      <c r="N1612" s="870"/>
      <c r="O1612" s="870"/>
      <c r="P1612" s="870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73"/>
      <c r="E1613" s="677"/>
      <c r="F1613" s="677"/>
      <c r="G1613" s="677"/>
      <c r="H1613" s="872"/>
      <c r="I1613" s="871"/>
      <c r="J1613" s="871"/>
      <c r="K1613" s="870"/>
      <c r="L1613" s="870"/>
      <c r="M1613" s="870"/>
      <c r="N1613" s="870"/>
      <c r="O1613" s="870"/>
      <c r="P1613" s="870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73"/>
      <c r="E1614" s="677"/>
      <c r="F1614" s="677"/>
      <c r="G1614" s="677"/>
      <c r="H1614" s="872"/>
      <c r="I1614" s="871"/>
      <c r="J1614" s="871"/>
      <c r="K1614" s="870"/>
      <c r="L1614" s="870"/>
      <c r="M1614" s="870"/>
      <c r="N1614" s="870"/>
      <c r="O1614" s="870"/>
      <c r="P1614" s="870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73"/>
      <c r="E1615" s="677"/>
      <c r="F1615" s="677"/>
      <c r="G1615" s="677"/>
      <c r="H1615" s="872"/>
      <c r="I1615" s="871"/>
      <c r="J1615" s="871"/>
      <c r="K1615" s="870"/>
      <c r="L1615" s="870"/>
      <c r="M1615" s="870"/>
      <c r="N1615" s="870"/>
      <c r="O1615" s="870"/>
      <c r="P1615" s="870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73"/>
      <c r="E1616" s="677"/>
      <c r="F1616" s="677"/>
      <c r="G1616" s="677"/>
      <c r="H1616" s="872"/>
      <c r="I1616" s="871"/>
      <c r="J1616" s="871"/>
      <c r="K1616" s="870"/>
      <c r="L1616" s="870"/>
      <c r="M1616" s="870"/>
      <c r="N1616" s="870"/>
      <c r="O1616" s="870"/>
      <c r="P1616" s="870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73"/>
      <c r="E1617" s="677"/>
      <c r="F1617" s="677"/>
      <c r="G1617" s="677"/>
      <c r="H1617" s="872"/>
      <c r="I1617" s="871"/>
      <c r="J1617" s="871"/>
      <c r="K1617" s="870"/>
      <c r="L1617" s="870"/>
      <c r="M1617" s="870"/>
      <c r="N1617" s="870"/>
      <c r="O1617" s="870"/>
      <c r="P1617" s="870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73"/>
      <c r="E1618" s="677"/>
      <c r="F1618" s="677"/>
      <c r="G1618" s="677"/>
      <c r="H1618" s="872"/>
      <c r="I1618" s="871"/>
      <c r="J1618" s="871"/>
      <c r="K1618" s="870"/>
      <c r="L1618" s="870"/>
      <c r="M1618" s="870"/>
      <c r="N1618" s="870"/>
      <c r="O1618" s="870"/>
      <c r="P1618" s="870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73"/>
      <c r="E1619" s="677"/>
      <c r="F1619" s="677"/>
      <c r="G1619" s="677"/>
      <c r="H1619" s="872"/>
      <c r="I1619" s="871"/>
      <c r="J1619" s="871"/>
      <c r="K1619" s="870"/>
      <c r="L1619" s="870"/>
      <c r="M1619" s="870"/>
      <c r="N1619" s="870"/>
      <c r="O1619" s="870"/>
      <c r="P1619" s="870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73"/>
      <c r="E1620" s="677"/>
      <c r="F1620" s="677"/>
      <c r="G1620" s="677"/>
      <c r="H1620" s="872"/>
      <c r="I1620" s="871"/>
      <c r="J1620" s="871"/>
      <c r="K1620" s="870"/>
      <c r="L1620" s="870"/>
      <c r="M1620" s="870"/>
      <c r="N1620" s="870"/>
      <c r="O1620" s="870"/>
      <c r="P1620" s="870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73"/>
      <c r="E1621" s="677"/>
      <c r="F1621" s="677"/>
      <c r="G1621" s="677"/>
      <c r="H1621" s="872"/>
      <c r="I1621" s="871"/>
      <c r="J1621" s="871"/>
      <c r="K1621" s="870"/>
      <c r="L1621" s="870"/>
      <c r="M1621" s="870"/>
      <c r="N1621" s="870"/>
      <c r="O1621" s="870"/>
      <c r="P1621" s="870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73"/>
      <c r="E1622" s="677"/>
      <c r="F1622" s="677"/>
      <c r="G1622" s="677"/>
      <c r="H1622" s="872"/>
      <c r="I1622" s="871"/>
      <c r="J1622" s="871"/>
      <c r="K1622" s="870"/>
      <c r="L1622" s="870"/>
      <c r="M1622" s="870"/>
      <c r="N1622" s="870"/>
      <c r="O1622" s="870"/>
      <c r="P1622" s="870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73"/>
      <c r="E1623" s="677"/>
      <c r="F1623" s="677"/>
      <c r="G1623" s="677"/>
      <c r="H1623" s="872"/>
      <c r="I1623" s="871"/>
      <c r="J1623" s="871"/>
      <c r="K1623" s="870"/>
      <c r="L1623" s="870"/>
      <c r="M1623" s="870"/>
      <c r="N1623" s="870"/>
      <c r="O1623" s="870"/>
      <c r="P1623" s="870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73"/>
      <c r="E1624" s="677"/>
      <c r="F1624" s="677"/>
      <c r="G1624" s="677"/>
      <c r="H1624" s="872"/>
      <c r="I1624" s="871"/>
      <c r="J1624" s="871"/>
      <c r="K1624" s="870"/>
      <c r="L1624" s="870"/>
      <c r="M1624" s="870"/>
      <c r="N1624" s="870"/>
      <c r="O1624" s="870"/>
      <c r="P1624" s="870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73"/>
      <c r="E1625" s="677"/>
      <c r="F1625" s="677"/>
      <c r="G1625" s="677"/>
      <c r="H1625" s="872"/>
      <c r="I1625" s="871"/>
      <c r="J1625" s="871"/>
      <c r="K1625" s="870"/>
      <c r="L1625" s="870"/>
      <c r="M1625" s="870"/>
      <c r="N1625" s="870"/>
      <c r="O1625" s="870"/>
      <c r="P1625" s="870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73"/>
      <c r="E1626" s="677"/>
      <c r="F1626" s="677"/>
      <c r="G1626" s="677"/>
      <c r="H1626" s="872"/>
      <c r="I1626" s="871"/>
      <c r="J1626" s="871"/>
      <c r="K1626" s="870"/>
      <c r="L1626" s="870"/>
      <c r="M1626" s="870"/>
      <c r="N1626" s="870"/>
      <c r="O1626" s="870"/>
      <c r="P1626" s="870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73"/>
      <c r="E1627" s="677"/>
      <c r="F1627" s="677"/>
      <c r="G1627" s="677"/>
      <c r="H1627" s="872"/>
      <c r="I1627" s="871"/>
      <c r="J1627" s="871"/>
      <c r="K1627" s="870"/>
      <c r="L1627" s="870"/>
      <c r="M1627" s="870"/>
      <c r="N1627" s="870"/>
      <c r="O1627" s="870"/>
      <c r="P1627" s="870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73"/>
      <c r="E1628" s="677"/>
      <c r="F1628" s="677"/>
      <c r="G1628" s="677"/>
      <c r="H1628" s="872"/>
      <c r="I1628" s="871"/>
      <c r="J1628" s="871"/>
      <c r="K1628" s="870"/>
      <c r="L1628" s="870"/>
      <c r="M1628" s="870"/>
      <c r="N1628" s="870"/>
      <c r="O1628" s="870"/>
      <c r="P1628" s="870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73"/>
      <c r="E1629" s="677"/>
      <c r="F1629" s="677"/>
      <c r="G1629" s="677"/>
      <c r="H1629" s="872"/>
      <c r="I1629" s="871"/>
      <c r="J1629" s="871"/>
      <c r="K1629" s="870"/>
      <c r="L1629" s="870"/>
      <c r="M1629" s="870"/>
      <c r="N1629" s="870"/>
      <c r="O1629" s="870"/>
      <c r="P1629" s="870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73"/>
      <c r="E1630" s="677"/>
      <c r="F1630" s="677"/>
      <c r="G1630" s="677"/>
      <c r="H1630" s="872"/>
      <c r="I1630" s="871"/>
      <c r="J1630" s="871"/>
      <c r="K1630" s="870"/>
      <c r="L1630" s="870"/>
      <c r="M1630" s="870"/>
      <c r="N1630" s="870"/>
      <c r="O1630" s="870"/>
      <c r="P1630" s="870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73"/>
      <c r="E1631" s="677"/>
      <c r="F1631" s="677"/>
      <c r="G1631" s="677"/>
      <c r="H1631" s="872"/>
      <c r="I1631" s="871"/>
      <c r="J1631" s="871"/>
      <c r="K1631" s="870"/>
      <c r="L1631" s="870"/>
      <c r="M1631" s="870"/>
      <c r="N1631" s="870"/>
      <c r="O1631" s="870"/>
      <c r="P1631" s="870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73"/>
      <c r="E1632" s="677"/>
      <c r="F1632" s="677"/>
      <c r="G1632" s="677"/>
      <c r="H1632" s="872"/>
      <c r="I1632" s="871"/>
      <c r="J1632" s="871"/>
      <c r="K1632" s="870"/>
      <c r="L1632" s="870"/>
      <c r="M1632" s="870"/>
      <c r="N1632" s="870"/>
      <c r="O1632" s="870"/>
      <c r="P1632" s="870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73"/>
      <c r="E1633" s="677"/>
      <c r="F1633" s="677"/>
      <c r="G1633" s="677"/>
      <c r="H1633" s="872"/>
      <c r="I1633" s="871"/>
      <c r="J1633" s="871"/>
      <c r="K1633" s="870"/>
      <c r="L1633" s="870"/>
      <c r="M1633" s="870"/>
      <c r="N1633" s="870"/>
      <c r="O1633" s="870"/>
      <c r="P1633" s="870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73"/>
      <c r="E1634" s="677"/>
      <c r="F1634" s="677"/>
      <c r="G1634" s="677"/>
      <c r="H1634" s="872"/>
      <c r="I1634" s="871"/>
      <c r="J1634" s="871"/>
      <c r="K1634" s="870"/>
      <c r="L1634" s="870"/>
      <c r="M1634" s="870"/>
      <c r="N1634" s="870"/>
      <c r="O1634" s="870"/>
      <c r="P1634" s="870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73"/>
      <c r="E1635" s="677"/>
      <c r="F1635" s="677"/>
      <c r="G1635" s="677"/>
      <c r="H1635" s="872"/>
      <c r="I1635" s="871"/>
      <c r="J1635" s="871"/>
      <c r="K1635" s="870"/>
      <c r="L1635" s="870"/>
      <c r="M1635" s="870"/>
      <c r="N1635" s="870"/>
      <c r="O1635" s="870"/>
      <c r="P1635" s="870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73"/>
      <c r="E1636" s="677"/>
      <c r="F1636" s="677"/>
      <c r="G1636" s="677"/>
      <c r="H1636" s="872"/>
      <c r="I1636" s="871"/>
      <c r="J1636" s="871"/>
      <c r="K1636" s="870"/>
      <c r="L1636" s="870"/>
      <c r="M1636" s="870"/>
      <c r="N1636" s="870"/>
      <c r="O1636" s="870"/>
      <c r="P1636" s="870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73"/>
      <c r="E1637" s="677"/>
      <c r="F1637" s="677"/>
      <c r="G1637" s="677"/>
      <c r="H1637" s="872"/>
      <c r="I1637" s="871"/>
      <c r="J1637" s="871"/>
      <c r="K1637" s="870"/>
      <c r="L1637" s="870"/>
      <c r="M1637" s="870"/>
      <c r="N1637" s="870"/>
      <c r="O1637" s="870"/>
      <c r="P1637" s="870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73"/>
      <c r="E1638" s="677"/>
      <c r="F1638" s="677"/>
      <c r="G1638" s="677"/>
      <c r="H1638" s="872"/>
      <c r="I1638" s="871"/>
      <c r="J1638" s="871"/>
      <c r="K1638" s="870"/>
      <c r="L1638" s="870"/>
      <c r="M1638" s="870"/>
      <c r="N1638" s="870"/>
      <c r="O1638" s="870"/>
      <c r="P1638" s="870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73"/>
      <c r="E1639" s="677"/>
      <c r="F1639" s="677"/>
      <c r="G1639" s="677"/>
      <c r="H1639" s="872"/>
      <c r="I1639" s="871"/>
      <c r="J1639" s="871"/>
      <c r="K1639" s="870"/>
      <c r="L1639" s="870"/>
      <c r="M1639" s="870"/>
      <c r="N1639" s="870"/>
      <c r="O1639" s="870"/>
      <c r="P1639" s="870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73"/>
      <c r="E1640" s="677"/>
      <c r="F1640" s="677"/>
      <c r="G1640" s="677"/>
      <c r="H1640" s="872"/>
      <c r="I1640" s="871"/>
      <c r="J1640" s="871"/>
      <c r="K1640" s="870"/>
      <c r="L1640" s="870"/>
      <c r="M1640" s="870"/>
      <c r="N1640" s="870"/>
      <c r="O1640" s="870"/>
      <c r="P1640" s="870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73"/>
      <c r="E1641" s="677"/>
      <c r="F1641" s="677"/>
      <c r="G1641" s="677"/>
      <c r="H1641" s="872"/>
      <c r="I1641" s="871"/>
      <c r="J1641" s="871"/>
      <c r="K1641" s="870"/>
      <c r="L1641" s="870"/>
      <c r="M1641" s="870"/>
      <c r="N1641" s="870"/>
      <c r="O1641" s="870"/>
      <c r="P1641" s="870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73"/>
      <c r="E1642" s="677"/>
      <c r="F1642" s="677"/>
      <c r="G1642" s="677"/>
      <c r="H1642" s="872"/>
      <c r="I1642" s="871"/>
      <c r="J1642" s="871"/>
      <c r="K1642" s="870"/>
      <c r="L1642" s="870"/>
      <c r="M1642" s="870"/>
      <c r="N1642" s="870"/>
      <c r="O1642" s="870"/>
      <c r="P1642" s="870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73"/>
      <c r="E1643" s="677"/>
      <c r="F1643" s="677"/>
      <c r="G1643" s="677"/>
      <c r="H1643" s="872"/>
      <c r="I1643" s="871"/>
      <c r="J1643" s="871"/>
      <c r="K1643" s="870"/>
      <c r="L1643" s="870"/>
      <c r="M1643" s="870"/>
      <c r="N1643" s="870"/>
      <c r="O1643" s="870"/>
      <c r="P1643" s="870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73"/>
      <c r="E1644" s="677"/>
      <c r="F1644" s="677"/>
      <c r="G1644" s="677"/>
      <c r="H1644" s="872"/>
      <c r="I1644" s="871"/>
      <c r="J1644" s="871"/>
      <c r="K1644" s="870"/>
      <c r="L1644" s="870"/>
      <c r="M1644" s="870"/>
      <c r="N1644" s="870"/>
      <c r="O1644" s="870"/>
      <c r="P1644" s="870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73"/>
      <c r="E1645" s="677"/>
      <c r="F1645" s="677"/>
      <c r="G1645" s="677"/>
      <c r="H1645" s="872"/>
      <c r="I1645" s="871"/>
      <c r="J1645" s="871"/>
      <c r="K1645" s="870"/>
      <c r="L1645" s="870"/>
      <c r="M1645" s="870"/>
      <c r="N1645" s="870"/>
      <c r="O1645" s="870"/>
      <c r="P1645" s="870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73"/>
      <c r="E1646" s="677"/>
      <c r="F1646" s="677"/>
      <c r="G1646" s="677"/>
      <c r="H1646" s="872"/>
      <c r="I1646" s="871"/>
      <c r="J1646" s="871"/>
      <c r="K1646" s="870"/>
      <c r="L1646" s="870"/>
      <c r="M1646" s="870"/>
      <c r="N1646" s="870"/>
      <c r="O1646" s="870"/>
      <c r="P1646" s="870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73"/>
      <c r="E1647" s="677"/>
      <c r="F1647" s="677"/>
      <c r="G1647" s="677"/>
      <c r="H1647" s="872"/>
      <c r="I1647" s="871"/>
      <c r="J1647" s="871"/>
      <c r="K1647" s="870"/>
      <c r="L1647" s="870"/>
      <c r="M1647" s="870"/>
      <c r="N1647" s="870"/>
      <c r="O1647" s="870"/>
      <c r="P1647" s="870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73"/>
      <c r="E1648" s="677"/>
      <c r="F1648" s="677"/>
      <c r="G1648" s="677"/>
      <c r="H1648" s="872"/>
      <c r="I1648" s="871"/>
      <c r="J1648" s="871"/>
      <c r="K1648" s="870"/>
      <c r="L1648" s="870"/>
      <c r="M1648" s="870"/>
      <c r="N1648" s="870"/>
      <c r="O1648" s="870"/>
      <c r="P1648" s="870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73"/>
      <c r="E1649" s="677"/>
      <c r="F1649" s="677"/>
      <c r="G1649" s="677"/>
      <c r="H1649" s="872"/>
      <c r="I1649" s="871"/>
      <c r="J1649" s="871"/>
      <c r="K1649" s="870"/>
      <c r="L1649" s="870"/>
      <c r="M1649" s="870"/>
      <c r="N1649" s="870"/>
      <c r="O1649" s="870"/>
      <c r="P1649" s="870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73"/>
      <c r="E1650" s="677"/>
      <c r="F1650" s="677"/>
      <c r="G1650" s="677"/>
      <c r="H1650" s="872"/>
      <c r="I1650" s="871"/>
      <c r="J1650" s="871"/>
      <c r="K1650" s="870"/>
      <c r="L1650" s="870"/>
      <c r="M1650" s="870"/>
      <c r="N1650" s="870"/>
      <c r="O1650" s="870"/>
      <c r="P1650" s="870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73"/>
      <c r="E1651" s="677"/>
      <c r="F1651" s="677"/>
      <c r="G1651" s="677"/>
      <c r="H1651" s="872"/>
      <c r="I1651" s="871"/>
      <c r="J1651" s="871"/>
      <c r="K1651" s="870"/>
      <c r="L1651" s="870"/>
      <c r="M1651" s="870"/>
      <c r="N1651" s="870"/>
      <c r="O1651" s="870"/>
      <c r="P1651" s="870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73"/>
      <c r="E1652" s="677"/>
      <c r="F1652" s="677"/>
      <c r="G1652" s="677"/>
      <c r="H1652" s="872"/>
      <c r="I1652" s="871"/>
      <c r="J1652" s="871"/>
      <c r="K1652" s="870"/>
      <c r="L1652" s="870"/>
      <c r="M1652" s="870"/>
      <c r="N1652" s="870"/>
      <c r="O1652" s="870"/>
      <c r="P1652" s="870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73"/>
      <c r="E1653" s="677"/>
      <c r="F1653" s="677"/>
      <c r="G1653" s="677"/>
      <c r="H1653" s="872"/>
      <c r="I1653" s="871"/>
      <c r="J1653" s="871"/>
      <c r="K1653" s="870"/>
      <c r="L1653" s="870"/>
      <c r="M1653" s="870"/>
      <c r="N1653" s="870"/>
      <c r="O1653" s="870"/>
      <c r="P1653" s="870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73"/>
      <c r="E1654" s="677"/>
      <c r="F1654" s="677"/>
      <c r="G1654" s="677"/>
      <c r="H1654" s="872"/>
      <c r="I1654" s="871"/>
      <c r="J1654" s="871"/>
      <c r="K1654" s="870"/>
      <c r="L1654" s="870"/>
      <c r="M1654" s="870"/>
      <c r="N1654" s="870"/>
      <c r="O1654" s="870"/>
      <c r="P1654" s="870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73"/>
      <c r="E1655" s="677"/>
      <c r="F1655" s="677"/>
      <c r="G1655" s="677"/>
      <c r="H1655" s="872"/>
      <c r="I1655" s="871"/>
      <c r="J1655" s="871"/>
      <c r="K1655" s="870"/>
      <c r="L1655" s="870"/>
      <c r="M1655" s="870"/>
      <c r="N1655" s="870"/>
      <c r="O1655" s="870"/>
      <c r="P1655" s="870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73"/>
      <c r="E1656" s="677"/>
      <c r="F1656" s="677"/>
      <c r="G1656" s="677"/>
      <c r="H1656" s="872"/>
      <c r="I1656" s="871"/>
      <c r="J1656" s="871"/>
      <c r="K1656" s="870"/>
      <c r="L1656" s="870"/>
      <c r="M1656" s="870"/>
      <c r="N1656" s="870"/>
      <c r="O1656" s="870"/>
      <c r="P1656" s="870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73"/>
      <c r="E1657" s="677"/>
      <c r="F1657" s="677"/>
      <c r="G1657" s="677"/>
      <c r="H1657" s="872"/>
      <c r="I1657" s="871"/>
      <c r="J1657" s="871"/>
      <c r="K1657" s="870"/>
      <c r="L1657" s="870"/>
      <c r="M1657" s="870"/>
      <c r="N1657" s="870"/>
      <c r="O1657" s="870"/>
      <c r="P1657" s="870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73"/>
      <c r="E1658" s="677"/>
      <c r="F1658" s="677"/>
      <c r="G1658" s="677"/>
      <c r="H1658" s="872"/>
      <c r="I1658" s="871"/>
      <c r="J1658" s="871"/>
      <c r="K1658" s="870"/>
      <c r="L1658" s="870"/>
      <c r="M1658" s="870"/>
      <c r="N1658" s="870"/>
      <c r="O1658" s="870"/>
      <c r="P1658" s="870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73"/>
      <c r="E1659" s="677"/>
      <c r="F1659" s="677"/>
      <c r="G1659" s="677"/>
      <c r="H1659" s="872"/>
      <c r="I1659" s="871"/>
      <c r="J1659" s="871"/>
      <c r="K1659" s="870"/>
      <c r="L1659" s="870"/>
      <c r="M1659" s="870"/>
      <c r="N1659" s="870"/>
      <c r="O1659" s="870"/>
      <c r="P1659" s="870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73"/>
      <c r="E1660" s="677"/>
      <c r="F1660" s="677"/>
      <c r="G1660" s="677"/>
      <c r="H1660" s="872"/>
      <c r="I1660" s="871"/>
      <c r="J1660" s="871"/>
      <c r="K1660" s="870"/>
      <c r="L1660" s="870"/>
      <c r="M1660" s="870"/>
      <c r="N1660" s="870"/>
      <c r="O1660" s="870"/>
      <c r="P1660" s="870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73"/>
      <c r="E1661" s="677"/>
      <c r="F1661" s="677"/>
      <c r="G1661" s="677"/>
      <c r="H1661" s="872"/>
      <c r="I1661" s="871"/>
      <c r="J1661" s="871"/>
      <c r="K1661" s="870"/>
      <c r="L1661" s="870"/>
      <c r="M1661" s="870"/>
      <c r="N1661" s="870"/>
      <c r="O1661" s="870"/>
      <c r="P1661" s="870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73"/>
      <c r="E1662" s="677"/>
      <c r="F1662" s="677"/>
      <c r="G1662" s="677"/>
      <c r="H1662" s="872"/>
      <c r="I1662" s="871"/>
      <c r="J1662" s="871"/>
      <c r="K1662" s="870"/>
      <c r="L1662" s="870"/>
      <c r="M1662" s="870"/>
      <c r="N1662" s="870"/>
      <c r="O1662" s="870"/>
      <c r="P1662" s="870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73"/>
      <c r="E1663" s="677"/>
      <c r="F1663" s="677"/>
      <c r="G1663" s="677"/>
      <c r="H1663" s="872"/>
      <c r="I1663" s="871"/>
      <c r="J1663" s="871"/>
      <c r="K1663" s="870"/>
      <c r="L1663" s="870"/>
      <c r="M1663" s="870"/>
      <c r="N1663" s="870"/>
      <c r="O1663" s="870"/>
      <c r="P1663" s="870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73"/>
      <c r="E1664" s="677"/>
      <c r="F1664" s="677"/>
      <c r="G1664" s="677"/>
      <c r="H1664" s="872"/>
      <c r="I1664" s="871"/>
      <c r="J1664" s="871"/>
      <c r="K1664" s="870"/>
      <c r="L1664" s="870"/>
      <c r="M1664" s="870"/>
      <c r="N1664" s="870"/>
      <c r="O1664" s="870"/>
      <c r="P1664" s="870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73"/>
      <c r="E1665" s="677"/>
      <c r="F1665" s="677"/>
      <c r="G1665" s="677"/>
      <c r="H1665" s="872"/>
      <c r="I1665" s="871"/>
      <c r="J1665" s="871"/>
      <c r="K1665" s="870"/>
      <c r="L1665" s="870"/>
      <c r="M1665" s="870"/>
      <c r="N1665" s="870"/>
      <c r="O1665" s="870"/>
      <c r="P1665" s="870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73"/>
      <c r="E1666" s="677"/>
      <c r="F1666" s="677"/>
      <c r="G1666" s="677"/>
      <c r="H1666" s="872"/>
      <c r="I1666" s="871"/>
      <c r="J1666" s="871"/>
      <c r="K1666" s="870"/>
      <c r="L1666" s="870"/>
      <c r="M1666" s="870"/>
      <c r="N1666" s="870"/>
      <c r="O1666" s="870"/>
      <c r="P1666" s="870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73"/>
      <c r="E1667" s="677"/>
      <c r="F1667" s="677"/>
      <c r="G1667" s="677"/>
      <c r="H1667" s="872"/>
      <c r="I1667" s="871"/>
      <c r="J1667" s="871"/>
      <c r="K1667" s="870"/>
      <c r="L1667" s="870"/>
      <c r="M1667" s="870"/>
      <c r="N1667" s="870"/>
      <c r="O1667" s="870"/>
      <c r="P1667" s="870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73"/>
      <c r="E1668" s="677"/>
      <c r="F1668" s="677"/>
      <c r="G1668" s="677"/>
      <c r="H1668" s="872"/>
      <c r="I1668" s="871"/>
      <c r="J1668" s="871"/>
      <c r="K1668" s="870"/>
      <c r="L1668" s="870"/>
      <c r="M1668" s="870"/>
      <c r="N1668" s="870"/>
      <c r="O1668" s="870"/>
      <c r="P1668" s="870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73"/>
      <c r="E1669" s="677"/>
      <c r="F1669" s="677"/>
      <c r="G1669" s="677"/>
      <c r="H1669" s="872"/>
      <c r="I1669" s="871"/>
      <c r="J1669" s="871"/>
      <c r="K1669" s="870"/>
      <c r="L1669" s="870"/>
      <c r="M1669" s="870"/>
      <c r="N1669" s="870"/>
      <c r="O1669" s="870"/>
      <c r="P1669" s="870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73"/>
      <c r="E1670" s="677"/>
      <c r="F1670" s="677"/>
      <c r="G1670" s="677"/>
      <c r="H1670" s="872"/>
      <c r="I1670" s="871"/>
      <c r="J1670" s="871"/>
      <c r="K1670" s="870"/>
      <c r="L1670" s="870"/>
      <c r="M1670" s="870"/>
      <c r="N1670" s="870"/>
      <c r="O1670" s="870"/>
      <c r="P1670" s="870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73"/>
      <c r="E1671" s="677"/>
      <c r="F1671" s="677"/>
      <c r="G1671" s="677"/>
      <c r="H1671" s="872"/>
      <c r="I1671" s="871"/>
      <c r="J1671" s="871"/>
      <c r="K1671" s="870"/>
      <c r="L1671" s="870"/>
      <c r="M1671" s="870"/>
      <c r="N1671" s="870"/>
      <c r="O1671" s="870"/>
      <c r="P1671" s="870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73"/>
      <c r="E1672" s="677"/>
      <c r="F1672" s="677"/>
      <c r="G1672" s="677"/>
      <c r="H1672" s="872"/>
      <c r="I1672" s="871"/>
      <c r="J1672" s="871"/>
      <c r="K1672" s="870"/>
      <c r="L1672" s="870"/>
      <c r="M1672" s="870"/>
      <c r="N1672" s="870"/>
      <c r="O1672" s="870"/>
      <c r="P1672" s="870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73"/>
      <c r="E1673" s="677"/>
      <c r="F1673" s="677"/>
      <c r="G1673" s="677"/>
      <c r="H1673" s="872"/>
      <c r="I1673" s="871"/>
      <c r="J1673" s="871"/>
      <c r="K1673" s="870"/>
      <c r="L1673" s="870"/>
      <c r="M1673" s="870"/>
      <c r="N1673" s="870"/>
      <c r="O1673" s="870"/>
      <c r="P1673" s="870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73"/>
      <c r="E1674" s="677"/>
      <c r="F1674" s="677"/>
      <c r="G1674" s="677"/>
      <c r="H1674" s="872"/>
      <c r="I1674" s="871"/>
      <c r="J1674" s="871"/>
      <c r="K1674" s="870"/>
      <c r="L1674" s="870"/>
      <c r="M1674" s="870"/>
      <c r="N1674" s="870"/>
      <c r="O1674" s="870"/>
      <c r="P1674" s="870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73"/>
      <c r="E1675" s="677"/>
      <c r="F1675" s="677"/>
      <c r="G1675" s="677"/>
      <c r="H1675" s="872"/>
      <c r="I1675" s="871"/>
      <c r="J1675" s="871"/>
      <c r="K1675" s="870"/>
      <c r="L1675" s="870"/>
      <c r="M1675" s="870"/>
      <c r="N1675" s="870"/>
      <c r="O1675" s="870"/>
      <c r="P1675" s="870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73"/>
      <c r="E1676" s="677"/>
      <c r="F1676" s="677"/>
      <c r="G1676" s="677"/>
      <c r="H1676" s="872"/>
      <c r="I1676" s="871"/>
      <c r="J1676" s="871"/>
      <c r="K1676" s="870"/>
      <c r="L1676" s="870"/>
      <c r="M1676" s="870"/>
      <c r="N1676" s="870"/>
      <c r="O1676" s="870"/>
      <c r="P1676" s="870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73"/>
      <c r="E1677" s="677"/>
      <c r="F1677" s="677"/>
      <c r="G1677" s="677"/>
      <c r="H1677" s="872"/>
      <c r="I1677" s="871"/>
      <c r="J1677" s="871"/>
      <c r="K1677" s="870"/>
      <c r="L1677" s="870"/>
      <c r="M1677" s="870"/>
      <c r="N1677" s="870"/>
      <c r="O1677" s="870"/>
      <c r="P1677" s="870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73"/>
      <c r="E1678" s="677"/>
      <c r="F1678" s="677"/>
      <c r="G1678" s="677"/>
      <c r="H1678" s="872"/>
      <c r="I1678" s="871"/>
      <c r="J1678" s="871"/>
      <c r="K1678" s="870"/>
      <c r="L1678" s="870"/>
      <c r="M1678" s="870"/>
      <c r="N1678" s="870"/>
      <c r="O1678" s="870"/>
      <c r="P1678" s="870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73"/>
      <c r="E1679" s="677"/>
      <c r="F1679" s="677"/>
      <c r="G1679" s="677"/>
      <c r="H1679" s="872"/>
      <c r="I1679" s="871"/>
      <c r="J1679" s="871"/>
      <c r="K1679" s="870"/>
      <c r="L1679" s="870"/>
      <c r="M1679" s="870"/>
      <c r="N1679" s="870"/>
      <c r="O1679" s="870"/>
      <c r="P1679" s="870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73"/>
      <c r="E1680" s="677"/>
      <c r="F1680" s="677"/>
      <c r="G1680" s="677"/>
      <c r="H1680" s="872"/>
      <c r="I1680" s="871"/>
      <c r="J1680" s="871"/>
      <c r="K1680" s="870"/>
      <c r="L1680" s="870"/>
      <c r="M1680" s="870"/>
      <c r="N1680" s="870"/>
      <c r="O1680" s="870"/>
      <c r="P1680" s="870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73"/>
      <c r="E1681" s="677"/>
      <c r="F1681" s="677"/>
      <c r="G1681" s="677"/>
      <c r="H1681" s="872"/>
      <c r="I1681" s="871"/>
      <c r="J1681" s="871"/>
      <c r="K1681" s="870"/>
      <c r="L1681" s="870"/>
      <c r="M1681" s="870"/>
      <c r="N1681" s="870"/>
      <c r="O1681" s="870"/>
      <c r="P1681" s="870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73"/>
      <c r="E1682" s="677"/>
      <c r="F1682" s="677"/>
      <c r="G1682" s="677"/>
      <c r="H1682" s="872"/>
      <c r="I1682" s="871"/>
      <c r="J1682" s="871"/>
      <c r="K1682" s="870"/>
      <c r="L1682" s="870"/>
      <c r="M1682" s="870"/>
      <c r="N1682" s="870"/>
      <c r="O1682" s="870"/>
      <c r="P1682" s="870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73"/>
      <c r="E1683" s="677"/>
      <c r="F1683" s="677"/>
      <c r="G1683" s="677"/>
      <c r="H1683" s="872"/>
      <c r="I1683" s="871"/>
      <c r="J1683" s="871"/>
      <c r="K1683" s="870"/>
      <c r="L1683" s="870"/>
      <c r="M1683" s="870"/>
      <c r="N1683" s="870"/>
      <c r="O1683" s="870"/>
      <c r="P1683" s="870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73"/>
      <c r="E1684" s="677"/>
      <c r="F1684" s="677"/>
      <c r="G1684" s="677"/>
      <c r="H1684" s="872"/>
      <c r="I1684" s="871"/>
      <c r="J1684" s="871"/>
      <c r="K1684" s="870"/>
      <c r="L1684" s="870"/>
      <c r="M1684" s="870"/>
      <c r="N1684" s="870"/>
      <c r="O1684" s="870"/>
      <c r="P1684" s="870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73"/>
      <c r="E1685" s="677"/>
      <c r="F1685" s="677"/>
      <c r="G1685" s="677"/>
      <c r="H1685" s="872"/>
      <c r="I1685" s="871"/>
      <c r="J1685" s="871"/>
      <c r="K1685" s="870"/>
      <c r="L1685" s="870"/>
      <c r="M1685" s="870"/>
      <c r="N1685" s="870"/>
      <c r="O1685" s="870"/>
      <c r="P1685" s="870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73"/>
      <c r="E1686" s="677"/>
      <c r="F1686" s="677"/>
      <c r="G1686" s="677"/>
      <c r="H1686" s="872"/>
      <c r="I1686" s="871"/>
      <c r="J1686" s="871"/>
      <c r="K1686" s="870"/>
      <c r="L1686" s="870"/>
      <c r="M1686" s="870"/>
      <c r="N1686" s="870"/>
      <c r="O1686" s="870"/>
      <c r="P1686" s="870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73"/>
      <c r="E1687" s="677"/>
      <c r="F1687" s="677"/>
      <c r="G1687" s="677"/>
      <c r="H1687" s="872"/>
      <c r="I1687" s="871"/>
      <c r="J1687" s="871"/>
      <c r="K1687" s="870"/>
      <c r="L1687" s="870"/>
      <c r="M1687" s="870"/>
      <c r="N1687" s="870"/>
      <c r="O1687" s="870"/>
      <c r="P1687" s="870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73"/>
      <c r="E1688" s="677"/>
      <c r="F1688" s="677"/>
      <c r="G1688" s="677"/>
      <c r="H1688" s="872"/>
      <c r="I1688" s="871"/>
      <c r="J1688" s="871"/>
      <c r="K1688" s="870"/>
      <c r="L1688" s="870"/>
      <c r="M1688" s="870"/>
      <c r="N1688" s="870"/>
      <c r="O1688" s="870"/>
      <c r="P1688" s="870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73"/>
      <c r="E1689" s="677"/>
      <c r="F1689" s="677"/>
      <c r="G1689" s="677"/>
      <c r="H1689" s="872"/>
      <c r="I1689" s="871"/>
      <c r="J1689" s="871"/>
      <c r="K1689" s="870"/>
      <c r="L1689" s="870"/>
      <c r="M1689" s="870"/>
      <c r="N1689" s="870"/>
      <c r="O1689" s="870"/>
      <c r="P1689" s="870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73"/>
      <c r="E1690" s="677"/>
      <c r="F1690" s="677"/>
      <c r="G1690" s="677"/>
      <c r="H1690" s="872"/>
      <c r="I1690" s="871"/>
      <c r="J1690" s="871"/>
      <c r="K1690" s="870"/>
      <c r="L1690" s="870"/>
      <c r="M1690" s="870"/>
      <c r="N1690" s="870"/>
      <c r="O1690" s="870"/>
      <c r="P1690" s="870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73"/>
      <c r="E1691" s="677"/>
      <c r="F1691" s="677"/>
      <c r="G1691" s="677"/>
      <c r="H1691" s="872"/>
      <c r="I1691" s="871"/>
      <c r="J1691" s="871"/>
      <c r="K1691" s="870"/>
      <c r="L1691" s="870"/>
      <c r="M1691" s="870"/>
      <c r="N1691" s="870"/>
      <c r="O1691" s="870"/>
      <c r="P1691" s="870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73"/>
      <c r="E1692" s="677"/>
      <c r="F1692" s="677"/>
      <c r="G1692" s="677"/>
      <c r="H1692" s="872"/>
      <c r="I1692" s="871"/>
      <c r="J1692" s="871"/>
      <c r="K1692" s="870"/>
      <c r="L1692" s="870"/>
      <c r="M1692" s="870"/>
      <c r="N1692" s="870"/>
      <c r="O1692" s="870"/>
      <c r="P1692" s="870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73"/>
      <c r="E1693" s="677"/>
      <c r="F1693" s="677"/>
      <c r="G1693" s="677"/>
      <c r="H1693" s="872"/>
      <c r="I1693" s="871"/>
      <c r="J1693" s="871"/>
      <c r="K1693" s="870"/>
      <c r="L1693" s="870"/>
      <c r="M1693" s="870"/>
      <c r="N1693" s="870"/>
      <c r="O1693" s="870"/>
      <c r="P1693" s="870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73"/>
      <c r="E1694" s="677"/>
      <c r="F1694" s="677"/>
      <c r="G1694" s="677"/>
      <c r="H1694" s="872"/>
      <c r="I1694" s="871"/>
      <c r="J1694" s="871"/>
      <c r="K1694" s="870"/>
      <c r="L1694" s="870"/>
      <c r="M1694" s="870"/>
      <c r="N1694" s="870"/>
      <c r="O1694" s="870"/>
      <c r="P1694" s="870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73"/>
      <c r="E1695" s="677"/>
      <c r="F1695" s="677"/>
      <c r="G1695" s="677"/>
      <c r="H1695" s="872"/>
      <c r="I1695" s="871"/>
      <c r="J1695" s="871"/>
      <c r="K1695" s="870"/>
      <c r="L1695" s="870"/>
      <c r="M1695" s="870"/>
      <c r="N1695" s="870"/>
      <c r="O1695" s="870"/>
      <c r="P1695" s="870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73"/>
      <c r="E1696" s="677"/>
      <c r="F1696" s="677"/>
      <c r="G1696" s="677"/>
      <c r="H1696" s="872"/>
      <c r="I1696" s="871"/>
      <c r="J1696" s="871"/>
      <c r="K1696" s="870"/>
      <c r="L1696" s="870"/>
      <c r="M1696" s="870"/>
      <c r="N1696" s="870"/>
      <c r="O1696" s="870"/>
      <c r="P1696" s="870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73"/>
      <c r="E1697" s="677"/>
      <c r="F1697" s="677"/>
      <c r="G1697" s="677"/>
      <c r="H1697" s="872"/>
      <c r="I1697" s="871"/>
      <c r="J1697" s="871"/>
      <c r="K1697" s="870"/>
      <c r="L1697" s="870"/>
      <c r="M1697" s="870"/>
      <c r="N1697" s="870"/>
      <c r="O1697" s="870"/>
      <c r="P1697" s="870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73"/>
      <c r="E1698" s="677"/>
      <c r="F1698" s="677"/>
      <c r="G1698" s="677"/>
      <c r="H1698" s="872"/>
      <c r="I1698" s="871"/>
      <c r="J1698" s="871"/>
      <c r="K1698" s="870"/>
      <c r="L1698" s="870"/>
      <c r="M1698" s="870"/>
      <c r="N1698" s="870"/>
      <c r="O1698" s="870"/>
      <c r="P1698" s="870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73"/>
      <c r="E1699" s="677"/>
      <c r="F1699" s="677"/>
      <c r="G1699" s="677"/>
      <c r="H1699" s="872"/>
      <c r="I1699" s="871"/>
      <c r="J1699" s="871"/>
      <c r="K1699" s="870"/>
      <c r="L1699" s="870"/>
      <c r="M1699" s="870"/>
      <c r="N1699" s="870"/>
      <c r="O1699" s="870"/>
      <c r="P1699" s="870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73"/>
      <c r="E1700" s="677"/>
      <c r="F1700" s="677"/>
      <c r="G1700" s="677"/>
      <c r="H1700" s="872"/>
      <c r="I1700" s="871"/>
      <c r="J1700" s="871"/>
      <c r="K1700" s="870"/>
      <c r="L1700" s="870"/>
      <c r="M1700" s="870"/>
      <c r="N1700" s="870"/>
      <c r="O1700" s="870"/>
      <c r="P1700" s="870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73"/>
      <c r="E1701" s="677"/>
      <c r="F1701" s="677"/>
      <c r="G1701" s="677"/>
      <c r="H1701" s="872"/>
      <c r="I1701" s="871"/>
      <c r="J1701" s="871"/>
      <c r="K1701" s="870"/>
      <c r="L1701" s="870"/>
      <c r="M1701" s="870"/>
      <c r="N1701" s="870"/>
      <c r="O1701" s="870"/>
      <c r="P1701" s="870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73"/>
      <c r="E1702" s="677"/>
      <c r="F1702" s="677"/>
      <c r="G1702" s="677"/>
      <c r="H1702" s="872"/>
      <c r="I1702" s="871"/>
      <c r="J1702" s="871"/>
      <c r="K1702" s="870"/>
      <c r="L1702" s="870"/>
      <c r="M1702" s="870"/>
      <c r="N1702" s="870"/>
      <c r="O1702" s="870"/>
      <c r="P1702" s="870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73"/>
      <c r="E1703" s="677"/>
      <c r="F1703" s="677"/>
      <c r="G1703" s="677"/>
      <c r="H1703" s="872"/>
      <c r="I1703" s="871"/>
      <c r="J1703" s="871"/>
      <c r="K1703" s="870"/>
      <c r="L1703" s="870"/>
      <c r="M1703" s="870"/>
      <c r="N1703" s="870"/>
      <c r="O1703" s="870"/>
      <c r="P1703" s="870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73"/>
      <c r="E1704" s="677"/>
      <c r="F1704" s="677"/>
      <c r="G1704" s="677"/>
      <c r="H1704" s="872"/>
      <c r="I1704" s="871"/>
      <c r="J1704" s="871"/>
      <c r="K1704" s="870"/>
      <c r="L1704" s="870"/>
      <c r="M1704" s="870"/>
      <c r="N1704" s="870"/>
      <c r="O1704" s="870"/>
      <c r="P1704" s="870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73"/>
      <c r="E1705" s="677"/>
      <c r="F1705" s="677"/>
      <c r="G1705" s="677"/>
      <c r="H1705" s="872"/>
      <c r="I1705" s="871"/>
      <c r="J1705" s="871"/>
      <c r="K1705" s="870"/>
      <c r="L1705" s="870"/>
      <c r="M1705" s="870"/>
      <c r="N1705" s="870"/>
      <c r="O1705" s="870"/>
      <c r="P1705" s="870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73"/>
      <c r="E1706" s="677"/>
      <c r="F1706" s="677"/>
      <c r="G1706" s="677"/>
      <c r="H1706" s="872"/>
      <c r="I1706" s="871"/>
      <c r="J1706" s="871"/>
      <c r="K1706" s="870"/>
      <c r="L1706" s="870"/>
      <c r="M1706" s="870"/>
      <c r="N1706" s="870"/>
      <c r="O1706" s="870"/>
      <c r="P1706" s="870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73"/>
      <c r="E1707" s="677"/>
      <c r="F1707" s="677"/>
      <c r="G1707" s="677"/>
      <c r="H1707" s="872"/>
      <c r="I1707" s="871"/>
      <c r="J1707" s="871"/>
      <c r="K1707" s="870"/>
      <c r="L1707" s="870"/>
      <c r="M1707" s="870"/>
      <c r="N1707" s="870"/>
      <c r="O1707" s="870"/>
      <c r="P1707" s="870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73"/>
      <c r="E1708" s="677"/>
      <c r="F1708" s="677"/>
      <c r="G1708" s="677"/>
      <c r="H1708" s="872"/>
      <c r="I1708" s="871"/>
      <c r="J1708" s="871"/>
      <c r="K1708" s="870"/>
      <c r="L1708" s="870"/>
      <c r="M1708" s="870"/>
      <c r="N1708" s="870"/>
      <c r="O1708" s="870"/>
      <c r="P1708" s="870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73"/>
      <c r="E1709" s="677"/>
      <c r="F1709" s="677"/>
      <c r="G1709" s="677"/>
      <c r="H1709" s="872"/>
      <c r="I1709" s="871"/>
      <c r="J1709" s="871"/>
      <c r="K1709" s="870"/>
      <c r="L1709" s="870"/>
      <c r="M1709" s="870"/>
      <c r="N1709" s="870"/>
      <c r="O1709" s="870"/>
      <c r="P1709" s="870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73"/>
      <c r="E1710" s="677"/>
      <c r="F1710" s="677"/>
      <c r="G1710" s="677"/>
      <c r="H1710" s="872"/>
      <c r="I1710" s="871"/>
      <c r="J1710" s="871"/>
      <c r="K1710" s="870"/>
      <c r="L1710" s="870"/>
      <c r="M1710" s="870"/>
      <c r="N1710" s="870"/>
      <c r="O1710" s="870"/>
      <c r="P1710" s="870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73"/>
      <c r="E1711" s="677"/>
      <c r="F1711" s="677"/>
      <c r="G1711" s="677"/>
      <c r="H1711" s="872"/>
      <c r="I1711" s="871"/>
      <c r="J1711" s="871"/>
      <c r="K1711" s="870"/>
      <c r="L1711" s="870"/>
      <c r="M1711" s="870"/>
      <c r="N1711" s="870"/>
      <c r="O1711" s="870"/>
      <c r="P1711" s="870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73"/>
      <c r="E1712" s="677"/>
      <c r="F1712" s="677"/>
      <c r="G1712" s="677"/>
      <c r="H1712" s="872"/>
      <c r="I1712" s="871"/>
      <c r="J1712" s="871"/>
      <c r="K1712" s="870"/>
      <c r="L1712" s="870"/>
      <c r="M1712" s="870"/>
      <c r="N1712" s="870"/>
      <c r="O1712" s="870"/>
      <c r="P1712" s="870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73"/>
      <c r="E1713" s="677"/>
      <c r="F1713" s="677"/>
      <c r="G1713" s="677"/>
      <c r="H1713" s="872"/>
      <c r="I1713" s="871"/>
      <c r="J1713" s="871"/>
      <c r="K1713" s="870"/>
      <c r="L1713" s="870"/>
      <c r="M1713" s="870"/>
      <c r="N1713" s="870"/>
      <c r="O1713" s="870"/>
      <c r="P1713" s="870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73"/>
      <c r="E1714" s="677"/>
      <c r="F1714" s="677"/>
      <c r="G1714" s="677"/>
      <c r="H1714" s="872"/>
      <c r="I1714" s="871"/>
      <c r="J1714" s="871"/>
      <c r="K1714" s="870"/>
      <c r="L1714" s="870"/>
      <c r="M1714" s="870"/>
      <c r="N1714" s="870"/>
      <c r="O1714" s="870"/>
      <c r="P1714" s="870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73"/>
      <c r="E1715" s="677"/>
      <c r="F1715" s="677"/>
      <c r="G1715" s="677"/>
      <c r="H1715" s="872"/>
      <c r="I1715" s="871"/>
      <c r="J1715" s="871"/>
      <c r="K1715" s="870"/>
      <c r="L1715" s="870"/>
      <c r="M1715" s="870"/>
      <c r="N1715" s="870"/>
      <c r="O1715" s="870"/>
      <c r="P1715" s="870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73"/>
      <c r="E1716" s="677"/>
      <c r="F1716" s="677"/>
      <c r="G1716" s="677"/>
      <c r="H1716" s="872"/>
      <c r="I1716" s="871"/>
      <c r="J1716" s="871"/>
      <c r="K1716" s="870"/>
      <c r="L1716" s="870"/>
      <c r="M1716" s="870"/>
      <c r="N1716" s="870"/>
      <c r="O1716" s="870"/>
      <c r="P1716" s="870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73"/>
      <c r="E1717" s="677"/>
      <c r="F1717" s="677"/>
      <c r="G1717" s="677"/>
      <c r="H1717" s="872"/>
      <c r="I1717" s="871"/>
      <c r="J1717" s="871"/>
      <c r="K1717" s="870"/>
      <c r="L1717" s="870"/>
      <c r="M1717" s="870"/>
      <c r="N1717" s="870"/>
      <c r="O1717" s="870"/>
      <c r="P1717" s="870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73"/>
      <c r="E1718" s="677"/>
      <c r="F1718" s="677"/>
      <c r="G1718" s="677"/>
      <c r="H1718" s="872"/>
      <c r="I1718" s="871"/>
      <c r="J1718" s="871"/>
      <c r="K1718" s="870"/>
      <c r="L1718" s="870"/>
      <c r="M1718" s="870"/>
      <c r="N1718" s="870"/>
      <c r="O1718" s="870"/>
      <c r="P1718" s="870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73"/>
      <c r="E1719" s="677"/>
      <c r="F1719" s="677"/>
      <c r="G1719" s="677"/>
      <c r="H1719" s="872"/>
      <c r="I1719" s="871"/>
      <c r="J1719" s="871"/>
      <c r="K1719" s="870"/>
      <c r="L1719" s="870"/>
      <c r="M1719" s="870"/>
      <c r="N1719" s="870"/>
      <c r="O1719" s="870"/>
      <c r="P1719" s="870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73"/>
      <c r="E1720" s="677"/>
      <c r="F1720" s="677"/>
      <c r="G1720" s="677"/>
      <c r="H1720" s="872"/>
      <c r="I1720" s="871"/>
      <c r="J1720" s="871"/>
      <c r="K1720" s="870"/>
      <c r="L1720" s="870"/>
      <c r="M1720" s="870"/>
      <c r="N1720" s="870"/>
      <c r="O1720" s="870"/>
      <c r="P1720" s="870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73"/>
      <c r="E1721" s="677"/>
      <c r="F1721" s="677"/>
      <c r="G1721" s="677"/>
      <c r="H1721" s="872"/>
      <c r="I1721" s="871"/>
      <c r="J1721" s="871"/>
      <c r="K1721" s="870"/>
      <c r="L1721" s="870"/>
      <c r="M1721" s="870"/>
      <c r="N1721" s="870"/>
      <c r="O1721" s="870"/>
      <c r="P1721" s="870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73"/>
      <c r="E1722" s="677"/>
      <c r="F1722" s="677"/>
      <c r="G1722" s="677"/>
      <c r="H1722" s="872"/>
      <c r="I1722" s="871"/>
      <c r="J1722" s="871"/>
      <c r="K1722" s="870"/>
      <c r="L1722" s="870"/>
      <c r="M1722" s="870"/>
      <c r="N1722" s="870"/>
      <c r="O1722" s="870"/>
      <c r="P1722" s="870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73"/>
      <c r="E1723" s="677"/>
      <c r="F1723" s="677"/>
      <c r="G1723" s="677"/>
      <c r="H1723" s="872"/>
      <c r="I1723" s="871"/>
      <c r="J1723" s="871"/>
      <c r="K1723" s="870"/>
      <c r="L1723" s="870"/>
      <c r="M1723" s="870"/>
      <c r="N1723" s="870"/>
      <c r="O1723" s="870"/>
      <c r="P1723" s="870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73"/>
      <c r="E1724" s="677"/>
      <c r="F1724" s="677"/>
      <c r="G1724" s="677"/>
      <c r="H1724" s="872"/>
      <c r="I1724" s="871"/>
      <c r="J1724" s="871"/>
      <c r="K1724" s="870"/>
      <c r="L1724" s="870"/>
      <c r="M1724" s="870"/>
      <c r="N1724" s="870"/>
      <c r="O1724" s="870"/>
      <c r="P1724" s="870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73"/>
      <c r="E1725" s="677"/>
      <c r="F1725" s="677"/>
      <c r="G1725" s="677"/>
      <c r="H1725" s="872"/>
      <c r="I1725" s="871"/>
      <c r="J1725" s="871"/>
      <c r="K1725" s="870"/>
      <c r="L1725" s="870"/>
      <c r="M1725" s="870"/>
      <c r="N1725" s="870"/>
      <c r="O1725" s="870"/>
      <c r="P1725" s="870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73"/>
      <c r="E1726" s="677"/>
      <c r="F1726" s="677"/>
      <c r="G1726" s="677"/>
      <c r="H1726" s="872"/>
      <c r="I1726" s="871"/>
      <c r="J1726" s="871"/>
      <c r="K1726" s="870"/>
      <c r="L1726" s="870"/>
      <c r="M1726" s="870"/>
      <c r="N1726" s="870"/>
      <c r="O1726" s="870"/>
      <c r="P1726" s="870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73"/>
      <c r="E1727" s="677"/>
      <c r="F1727" s="677"/>
      <c r="G1727" s="677"/>
      <c r="H1727" s="872"/>
      <c r="I1727" s="871"/>
      <c r="J1727" s="871"/>
      <c r="K1727" s="870"/>
      <c r="L1727" s="870"/>
      <c r="M1727" s="870"/>
      <c r="N1727" s="870"/>
      <c r="O1727" s="870"/>
      <c r="P1727" s="870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73"/>
      <c r="E1728" s="677"/>
      <c r="F1728" s="677"/>
      <c r="G1728" s="677"/>
      <c r="H1728" s="872"/>
      <c r="I1728" s="871"/>
      <c r="J1728" s="871"/>
      <c r="K1728" s="870"/>
      <c r="L1728" s="870"/>
      <c r="M1728" s="870"/>
      <c r="N1728" s="870"/>
      <c r="O1728" s="870"/>
      <c r="P1728" s="870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73"/>
      <c r="E1729" s="677"/>
      <c r="F1729" s="677"/>
      <c r="G1729" s="677"/>
      <c r="H1729" s="872"/>
      <c r="I1729" s="871"/>
      <c r="J1729" s="871"/>
      <c r="K1729" s="870"/>
      <c r="L1729" s="870"/>
      <c r="M1729" s="870"/>
      <c r="N1729" s="870"/>
      <c r="O1729" s="870"/>
      <c r="P1729" s="870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73"/>
      <c r="E1730" s="677"/>
      <c r="F1730" s="677"/>
      <c r="G1730" s="677"/>
      <c r="H1730" s="872"/>
      <c r="I1730" s="871"/>
      <c r="J1730" s="871"/>
      <c r="K1730" s="870"/>
      <c r="L1730" s="870"/>
      <c r="M1730" s="870"/>
      <c r="N1730" s="870"/>
      <c r="O1730" s="870"/>
      <c r="P1730" s="870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73"/>
      <c r="E1731" s="677"/>
      <c r="F1731" s="677"/>
      <c r="G1731" s="677"/>
      <c r="H1731" s="872"/>
      <c r="I1731" s="871"/>
      <c r="J1731" s="871"/>
      <c r="K1731" s="870"/>
      <c r="L1731" s="870"/>
      <c r="M1731" s="870"/>
      <c r="N1731" s="870"/>
      <c r="O1731" s="870"/>
      <c r="P1731" s="870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73"/>
      <c r="E1732" s="677"/>
      <c r="F1732" s="677"/>
      <c r="G1732" s="677"/>
      <c r="H1732" s="872"/>
      <c r="I1732" s="871"/>
      <c r="J1732" s="871"/>
      <c r="K1732" s="870"/>
      <c r="L1732" s="870"/>
      <c r="M1732" s="870"/>
      <c r="N1732" s="870"/>
      <c r="O1732" s="870"/>
      <c r="P1732" s="870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73"/>
      <c r="E1733" s="677"/>
      <c r="F1733" s="677"/>
      <c r="G1733" s="677"/>
      <c r="H1733" s="872"/>
      <c r="I1733" s="871"/>
      <c r="J1733" s="871"/>
      <c r="K1733" s="870"/>
      <c r="L1733" s="870"/>
      <c r="M1733" s="870"/>
      <c r="N1733" s="870"/>
      <c r="O1733" s="870"/>
      <c r="P1733" s="870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73"/>
      <c r="E1734" s="677"/>
      <c r="F1734" s="677"/>
      <c r="G1734" s="677"/>
      <c r="H1734" s="872"/>
      <c r="I1734" s="871"/>
      <c r="J1734" s="871"/>
      <c r="K1734" s="870"/>
      <c r="L1734" s="870"/>
      <c r="M1734" s="870"/>
      <c r="N1734" s="870"/>
      <c r="O1734" s="870"/>
      <c r="P1734" s="870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73"/>
      <c r="E1735" s="677"/>
      <c r="F1735" s="677"/>
      <c r="G1735" s="677"/>
      <c r="H1735" s="872"/>
      <c r="I1735" s="871"/>
      <c r="J1735" s="871"/>
      <c r="K1735" s="870"/>
      <c r="L1735" s="870"/>
      <c r="M1735" s="870"/>
      <c r="N1735" s="870"/>
      <c r="O1735" s="870"/>
      <c r="P1735" s="870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73"/>
      <c r="E1736" s="677"/>
      <c r="F1736" s="677"/>
      <c r="G1736" s="677"/>
      <c r="H1736" s="872"/>
      <c r="I1736" s="871"/>
      <c r="J1736" s="871"/>
      <c r="K1736" s="870"/>
      <c r="L1736" s="870"/>
      <c r="M1736" s="870"/>
      <c r="N1736" s="870"/>
      <c r="O1736" s="870"/>
      <c r="P1736" s="870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73"/>
      <c r="E1737" s="677"/>
      <c r="F1737" s="677"/>
      <c r="G1737" s="677"/>
      <c r="H1737" s="872"/>
      <c r="I1737" s="871"/>
      <c r="J1737" s="871"/>
      <c r="K1737" s="870"/>
      <c r="L1737" s="870"/>
      <c r="M1737" s="870"/>
      <c r="N1737" s="870"/>
      <c r="O1737" s="870"/>
      <c r="P1737" s="870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73"/>
      <c r="E1738" s="677"/>
      <c r="F1738" s="677"/>
      <c r="G1738" s="677"/>
      <c r="H1738" s="872"/>
      <c r="I1738" s="871"/>
      <c r="J1738" s="871"/>
      <c r="K1738" s="870"/>
      <c r="L1738" s="870"/>
      <c r="M1738" s="870"/>
      <c r="N1738" s="870"/>
      <c r="O1738" s="870"/>
      <c r="P1738" s="870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73"/>
      <c r="E1739" s="677"/>
      <c r="F1739" s="677"/>
      <c r="G1739" s="677"/>
      <c r="H1739" s="872"/>
      <c r="I1739" s="871"/>
      <c r="J1739" s="871"/>
      <c r="K1739" s="870"/>
      <c r="L1739" s="870"/>
      <c r="M1739" s="870"/>
      <c r="N1739" s="870"/>
      <c r="O1739" s="870"/>
      <c r="P1739" s="870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73"/>
      <c r="E1740" s="677"/>
      <c r="F1740" s="677"/>
      <c r="G1740" s="677"/>
      <c r="H1740" s="872"/>
      <c r="I1740" s="871"/>
      <c r="J1740" s="871"/>
      <c r="K1740" s="870"/>
      <c r="L1740" s="870"/>
      <c r="M1740" s="870"/>
      <c r="N1740" s="870"/>
      <c r="O1740" s="870"/>
      <c r="P1740" s="870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73"/>
      <c r="E1741" s="677"/>
      <c r="F1741" s="677"/>
      <c r="G1741" s="677"/>
      <c r="H1741" s="872"/>
      <c r="I1741" s="871"/>
      <c r="J1741" s="871"/>
      <c r="K1741" s="870"/>
      <c r="L1741" s="870"/>
      <c r="M1741" s="870"/>
      <c r="N1741" s="870"/>
      <c r="O1741" s="870"/>
      <c r="P1741" s="870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73"/>
      <c r="E1742" s="677"/>
      <c r="F1742" s="677"/>
      <c r="G1742" s="677"/>
      <c r="H1742" s="872"/>
      <c r="I1742" s="871"/>
      <c r="J1742" s="871"/>
      <c r="K1742" s="870"/>
      <c r="L1742" s="870"/>
      <c r="M1742" s="870"/>
      <c r="N1742" s="870"/>
      <c r="O1742" s="870"/>
      <c r="P1742" s="870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73"/>
      <c r="E1743" s="677"/>
      <c r="F1743" s="677"/>
      <c r="G1743" s="677"/>
      <c r="H1743" s="872"/>
      <c r="I1743" s="871"/>
      <c r="J1743" s="871"/>
      <c r="K1743" s="870"/>
      <c r="L1743" s="870"/>
      <c r="M1743" s="870"/>
      <c r="N1743" s="870"/>
      <c r="O1743" s="870"/>
      <c r="P1743" s="870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73"/>
      <c r="E1744" s="677"/>
      <c r="F1744" s="677"/>
      <c r="G1744" s="677"/>
      <c r="H1744" s="872"/>
      <c r="I1744" s="871"/>
      <c r="J1744" s="871"/>
      <c r="K1744" s="870"/>
      <c r="L1744" s="870"/>
      <c r="M1744" s="870"/>
      <c r="N1744" s="870"/>
      <c r="O1744" s="870"/>
      <c r="P1744" s="870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73"/>
      <c r="E1745" s="677"/>
      <c r="F1745" s="677"/>
      <c r="G1745" s="677"/>
      <c r="H1745" s="872"/>
      <c r="I1745" s="871"/>
      <c r="J1745" s="871"/>
      <c r="K1745" s="870"/>
      <c r="L1745" s="870"/>
      <c r="M1745" s="870"/>
      <c r="N1745" s="870"/>
      <c r="O1745" s="870"/>
      <c r="P1745" s="870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73"/>
      <c r="E1746" s="677"/>
      <c r="F1746" s="677"/>
      <c r="G1746" s="677"/>
      <c r="H1746" s="872"/>
      <c r="I1746" s="871"/>
      <c r="J1746" s="871"/>
      <c r="K1746" s="870"/>
      <c r="L1746" s="870"/>
      <c r="M1746" s="870"/>
      <c r="N1746" s="870"/>
      <c r="O1746" s="870"/>
      <c r="P1746" s="870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73"/>
      <c r="E1747" s="677"/>
      <c r="F1747" s="677"/>
      <c r="G1747" s="677"/>
      <c r="H1747" s="872"/>
      <c r="I1747" s="871"/>
      <c r="J1747" s="871"/>
      <c r="K1747" s="870"/>
      <c r="L1747" s="870"/>
      <c r="M1747" s="870"/>
      <c r="N1747" s="870"/>
      <c r="O1747" s="870"/>
      <c r="P1747" s="870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73"/>
      <c r="E1748" s="677"/>
      <c r="F1748" s="677"/>
      <c r="G1748" s="677"/>
      <c r="H1748" s="872"/>
      <c r="I1748" s="871"/>
      <c r="J1748" s="871"/>
      <c r="K1748" s="870"/>
      <c r="L1748" s="870"/>
      <c r="M1748" s="870"/>
      <c r="N1748" s="870"/>
      <c r="O1748" s="870"/>
      <c r="P1748" s="870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73"/>
      <c r="E1749" s="677"/>
      <c r="F1749" s="677"/>
      <c r="G1749" s="677"/>
      <c r="H1749" s="872"/>
      <c r="I1749" s="871"/>
      <c r="J1749" s="871"/>
      <c r="K1749" s="870"/>
      <c r="L1749" s="870"/>
      <c r="M1749" s="870"/>
      <c r="N1749" s="870"/>
      <c r="O1749" s="870"/>
      <c r="P1749" s="870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73"/>
      <c r="E1750" s="677"/>
      <c r="F1750" s="677"/>
      <c r="G1750" s="677"/>
      <c r="H1750" s="872"/>
      <c r="I1750" s="871"/>
      <c r="J1750" s="871"/>
      <c r="K1750" s="870"/>
      <c r="L1750" s="870"/>
      <c r="M1750" s="870"/>
      <c r="N1750" s="870"/>
      <c r="O1750" s="870"/>
      <c r="P1750" s="870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73"/>
      <c r="E1751" s="677"/>
      <c r="F1751" s="677"/>
      <c r="G1751" s="677"/>
      <c r="H1751" s="872"/>
      <c r="I1751" s="871"/>
      <c r="J1751" s="871"/>
      <c r="K1751" s="870"/>
      <c r="L1751" s="870"/>
      <c r="M1751" s="870"/>
      <c r="N1751" s="870"/>
      <c r="O1751" s="870"/>
      <c r="P1751" s="870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73"/>
      <c r="E1752" s="677"/>
      <c r="F1752" s="677"/>
      <c r="G1752" s="677"/>
      <c r="H1752" s="872"/>
      <c r="I1752" s="871"/>
      <c r="J1752" s="871"/>
      <c r="K1752" s="870"/>
      <c r="L1752" s="870"/>
      <c r="M1752" s="870"/>
      <c r="N1752" s="870"/>
      <c r="O1752" s="870"/>
      <c r="P1752" s="870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73"/>
      <c r="E1753" s="677"/>
      <c r="F1753" s="677"/>
      <c r="G1753" s="677"/>
      <c r="H1753" s="872"/>
      <c r="I1753" s="871"/>
      <c r="J1753" s="871"/>
      <c r="K1753" s="870"/>
      <c r="L1753" s="870"/>
      <c r="M1753" s="870"/>
      <c r="N1753" s="870"/>
      <c r="O1753" s="870"/>
      <c r="P1753" s="870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73"/>
      <c r="E1754" s="677"/>
      <c r="F1754" s="677"/>
      <c r="G1754" s="677"/>
      <c r="H1754" s="872"/>
      <c r="I1754" s="871"/>
      <c r="J1754" s="871"/>
      <c r="K1754" s="870"/>
      <c r="L1754" s="870"/>
      <c r="M1754" s="870"/>
      <c r="N1754" s="870"/>
      <c r="O1754" s="870"/>
      <c r="P1754" s="870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73"/>
      <c r="E1755" s="677"/>
      <c r="F1755" s="677"/>
      <c r="G1755" s="677"/>
      <c r="H1755" s="872"/>
      <c r="I1755" s="871"/>
      <c r="J1755" s="871"/>
      <c r="K1755" s="870"/>
      <c r="L1755" s="870"/>
      <c r="M1755" s="870"/>
      <c r="N1755" s="870"/>
      <c r="O1755" s="870"/>
      <c r="P1755" s="870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73"/>
      <c r="E1756" s="677"/>
      <c r="F1756" s="677"/>
      <c r="G1756" s="677"/>
      <c r="H1756" s="872"/>
      <c r="I1756" s="871"/>
      <c r="J1756" s="871"/>
      <c r="K1756" s="870"/>
      <c r="L1756" s="870"/>
      <c r="M1756" s="870"/>
      <c r="N1756" s="870"/>
      <c r="O1756" s="870"/>
      <c r="P1756" s="870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73"/>
      <c r="E1757" s="677"/>
      <c r="F1757" s="677"/>
      <c r="G1757" s="677"/>
      <c r="H1757" s="872"/>
      <c r="I1757" s="871"/>
      <c r="J1757" s="871"/>
      <c r="K1757" s="870"/>
      <c r="L1757" s="870"/>
      <c r="M1757" s="870"/>
      <c r="N1757" s="870"/>
      <c r="O1757" s="870"/>
      <c r="P1757" s="870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73"/>
      <c r="E1758" s="677"/>
      <c r="F1758" s="677"/>
      <c r="G1758" s="677"/>
      <c r="H1758" s="872"/>
      <c r="I1758" s="871"/>
      <c r="J1758" s="871"/>
      <c r="K1758" s="870"/>
      <c r="L1758" s="870"/>
      <c r="M1758" s="870"/>
      <c r="N1758" s="870"/>
      <c r="O1758" s="870"/>
      <c r="P1758" s="870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73"/>
      <c r="E1759" s="677"/>
      <c r="F1759" s="677"/>
      <c r="G1759" s="677"/>
      <c r="H1759" s="872"/>
      <c r="I1759" s="871"/>
      <c r="J1759" s="871"/>
      <c r="K1759" s="870"/>
      <c r="L1759" s="870"/>
      <c r="M1759" s="870"/>
      <c r="N1759" s="870"/>
      <c r="O1759" s="870"/>
      <c r="P1759" s="870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73"/>
      <c r="E1760" s="677"/>
      <c r="F1760" s="677"/>
      <c r="G1760" s="677"/>
      <c r="H1760" s="872"/>
      <c r="I1760" s="871"/>
      <c r="J1760" s="871"/>
      <c r="K1760" s="870"/>
      <c r="L1760" s="870"/>
      <c r="M1760" s="870"/>
      <c r="N1760" s="870"/>
      <c r="O1760" s="870"/>
      <c r="P1760" s="870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73"/>
      <c r="E1761" s="677"/>
      <c r="F1761" s="677"/>
      <c r="G1761" s="677"/>
      <c r="H1761" s="872"/>
      <c r="I1761" s="871"/>
      <c r="J1761" s="871"/>
      <c r="K1761" s="870"/>
      <c r="L1761" s="870"/>
      <c r="M1761" s="870"/>
      <c r="N1761" s="870"/>
      <c r="O1761" s="870"/>
      <c r="P1761" s="870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73"/>
      <c r="E1762" s="677"/>
      <c r="F1762" s="677"/>
      <c r="G1762" s="677"/>
      <c r="H1762" s="872"/>
      <c r="I1762" s="871"/>
      <c r="J1762" s="871"/>
      <c r="K1762" s="870"/>
      <c r="L1762" s="870"/>
      <c r="M1762" s="870"/>
      <c r="N1762" s="870"/>
      <c r="O1762" s="870"/>
      <c r="P1762" s="870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73"/>
      <c r="E1763" s="677"/>
      <c r="F1763" s="677"/>
      <c r="G1763" s="677"/>
      <c r="H1763" s="872"/>
      <c r="I1763" s="871"/>
      <c r="J1763" s="871"/>
      <c r="K1763" s="870"/>
      <c r="L1763" s="870"/>
      <c r="M1763" s="870"/>
      <c r="N1763" s="870"/>
      <c r="O1763" s="870"/>
      <c r="P1763" s="870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73"/>
      <c r="E1764" s="677"/>
      <c r="F1764" s="677"/>
      <c r="G1764" s="677"/>
      <c r="H1764" s="872"/>
      <c r="I1764" s="871"/>
      <c r="J1764" s="871"/>
      <c r="K1764" s="870"/>
      <c r="L1764" s="870"/>
      <c r="M1764" s="870"/>
      <c r="N1764" s="870"/>
      <c r="O1764" s="870"/>
      <c r="P1764" s="870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73"/>
      <c r="E1765" s="677"/>
      <c r="F1765" s="677"/>
      <c r="G1765" s="677"/>
      <c r="H1765" s="872"/>
      <c r="I1765" s="871"/>
      <c r="J1765" s="871"/>
      <c r="K1765" s="870"/>
      <c r="L1765" s="870"/>
      <c r="M1765" s="870"/>
      <c r="N1765" s="870"/>
      <c r="O1765" s="870"/>
      <c r="P1765" s="870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73"/>
      <c r="E1766" s="677"/>
      <c r="F1766" s="677"/>
      <c r="G1766" s="677"/>
      <c r="H1766" s="872"/>
      <c r="I1766" s="871"/>
      <c r="J1766" s="871"/>
      <c r="K1766" s="870"/>
      <c r="L1766" s="870"/>
      <c r="M1766" s="870"/>
      <c r="N1766" s="870"/>
      <c r="O1766" s="870"/>
      <c r="P1766" s="870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73"/>
      <c r="E1767" s="677"/>
      <c r="F1767" s="677"/>
      <c r="G1767" s="677"/>
      <c r="H1767" s="872"/>
      <c r="I1767" s="871"/>
      <c r="J1767" s="871"/>
      <c r="K1767" s="870"/>
      <c r="L1767" s="870"/>
      <c r="M1767" s="870"/>
      <c r="N1767" s="870"/>
      <c r="O1767" s="870"/>
      <c r="P1767" s="870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73"/>
      <c r="E1768" s="677"/>
      <c r="F1768" s="677"/>
      <c r="G1768" s="677"/>
      <c r="H1768" s="872"/>
      <c r="I1768" s="871"/>
      <c r="J1768" s="871"/>
      <c r="K1768" s="870"/>
      <c r="L1768" s="870"/>
      <c r="M1768" s="870"/>
      <c r="N1768" s="870"/>
      <c r="O1768" s="870"/>
      <c r="P1768" s="870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73"/>
      <c r="E1769" s="677"/>
      <c r="F1769" s="677"/>
      <c r="G1769" s="677"/>
      <c r="H1769" s="872"/>
      <c r="I1769" s="871"/>
      <c r="J1769" s="871"/>
      <c r="K1769" s="870"/>
      <c r="L1769" s="870"/>
      <c r="M1769" s="870"/>
      <c r="N1769" s="870"/>
      <c r="O1769" s="870"/>
      <c r="P1769" s="870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73"/>
      <c r="E1770" s="677"/>
      <c r="F1770" s="677"/>
      <c r="G1770" s="677"/>
      <c r="H1770" s="872"/>
      <c r="I1770" s="871"/>
      <c r="J1770" s="871"/>
      <c r="K1770" s="870"/>
      <c r="L1770" s="870"/>
      <c r="M1770" s="870"/>
      <c r="N1770" s="870"/>
      <c r="O1770" s="870"/>
      <c r="P1770" s="870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73"/>
      <c r="E1771" s="677"/>
      <c r="F1771" s="677"/>
      <c r="G1771" s="677"/>
      <c r="H1771" s="872"/>
      <c r="I1771" s="871"/>
      <c r="J1771" s="871"/>
      <c r="K1771" s="870"/>
      <c r="L1771" s="870"/>
      <c r="M1771" s="870"/>
      <c r="N1771" s="870"/>
      <c r="O1771" s="870"/>
      <c r="P1771" s="870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73"/>
      <c r="E1772" s="677"/>
      <c r="F1772" s="677"/>
      <c r="G1772" s="677"/>
      <c r="H1772" s="872"/>
      <c r="I1772" s="871"/>
      <c r="J1772" s="871"/>
      <c r="K1772" s="870"/>
      <c r="L1772" s="870"/>
      <c r="M1772" s="870"/>
      <c r="N1772" s="870"/>
      <c r="O1772" s="870"/>
      <c r="P1772" s="870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73"/>
      <c r="E1773" s="677"/>
      <c r="F1773" s="677"/>
      <c r="G1773" s="677"/>
      <c r="H1773" s="872"/>
      <c r="I1773" s="871"/>
      <c r="J1773" s="871"/>
      <c r="K1773" s="870"/>
      <c r="L1773" s="870"/>
      <c r="M1773" s="870"/>
      <c r="N1773" s="870"/>
      <c r="O1773" s="870"/>
      <c r="P1773" s="870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73"/>
      <c r="E1774" s="677"/>
      <c r="F1774" s="677"/>
      <c r="G1774" s="677"/>
      <c r="H1774" s="872"/>
      <c r="I1774" s="871"/>
      <c r="J1774" s="871"/>
      <c r="K1774" s="870"/>
      <c r="L1774" s="870"/>
      <c r="M1774" s="870"/>
      <c r="N1774" s="870"/>
      <c r="O1774" s="870"/>
      <c r="P1774" s="870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73"/>
      <c r="E1775" s="677"/>
      <c r="F1775" s="677"/>
      <c r="G1775" s="677"/>
      <c r="H1775" s="872"/>
      <c r="I1775" s="871"/>
      <c r="J1775" s="871"/>
      <c r="K1775" s="870"/>
      <c r="L1775" s="870"/>
      <c r="M1775" s="870"/>
      <c r="N1775" s="870"/>
      <c r="O1775" s="870"/>
      <c r="P1775" s="870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73"/>
      <c r="E1776" s="677"/>
      <c r="F1776" s="677"/>
      <c r="G1776" s="677"/>
      <c r="H1776" s="872"/>
      <c r="I1776" s="871"/>
      <c r="J1776" s="871"/>
      <c r="K1776" s="870"/>
      <c r="L1776" s="870"/>
      <c r="M1776" s="870"/>
      <c r="N1776" s="870"/>
      <c r="O1776" s="870"/>
      <c r="P1776" s="870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73"/>
      <c r="E1777" s="677"/>
      <c r="F1777" s="677"/>
      <c r="G1777" s="677"/>
      <c r="H1777" s="872"/>
      <c r="I1777" s="871"/>
      <c r="J1777" s="871"/>
      <c r="K1777" s="870"/>
      <c r="L1777" s="870"/>
      <c r="M1777" s="870"/>
      <c r="N1777" s="870"/>
      <c r="O1777" s="870"/>
      <c r="P1777" s="870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73"/>
      <c r="E1778" s="677"/>
      <c r="F1778" s="677"/>
      <c r="G1778" s="677"/>
      <c r="H1778" s="872"/>
      <c r="I1778" s="871"/>
      <c r="J1778" s="871"/>
      <c r="K1778" s="870"/>
      <c r="L1778" s="870"/>
      <c r="M1778" s="870"/>
      <c r="N1778" s="870"/>
      <c r="O1778" s="870"/>
      <c r="P1778" s="870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73"/>
      <c r="E1779" s="677"/>
      <c r="F1779" s="677"/>
      <c r="G1779" s="677"/>
      <c r="H1779" s="872"/>
      <c r="I1779" s="871"/>
      <c r="J1779" s="871"/>
      <c r="K1779" s="870"/>
      <c r="L1779" s="870"/>
      <c r="M1779" s="870"/>
      <c r="N1779" s="870"/>
      <c r="O1779" s="870"/>
      <c r="P1779" s="870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73"/>
      <c r="E1780" s="677"/>
      <c r="F1780" s="677"/>
      <c r="G1780" s="677"/>
      <c r="H1780" s="872"/>
      <c r="I1780" s="871"/>
      <c r="J1780" s="871"/>
      <c r="K1780" s="870"/>
      <c r="L1780" s="870"/>
      <c r="M1780" s="870"/>
      <c r="N1780" s="870"/>
      <c r="O1780" s="870"/>
      <c r="P1780" s="870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73"/>
      <c r="E1781" s="677"/>
      <c r="F1781" s="677"/>
      <c r="G1781" s="677"/>
      <c r="H1781" s="872"/>
      <c r="I1781" s="871"/>
      <c r="J1781" s="871"/>
      <c r="K1781" s="870"/>
      <c r="L1781" s="870"/>
      <c r="M1781" s="870"/>
      <c r="N1781" s="870"/>
      <c r="O1781" s="870"/>
      <c r="P1781" s="870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73"/>
      <c r="E1782" s="677"/>
      <c r="F1782" s="677"/>
      <c r="G1782" s="677"/>
      <c r="H1782" s="872"/>
      <c r="I1782" s="871"/>
      <c r="J1782" s="871"/>
      <c r="K1782" s="870"/>
      <c r="L1782" s="870"/>
      <c r="M1782" s="870"/>
      <c r="N1782" s="870"/>
      <c r="O1782" s="870"/>
      <c r="P1782" s="870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73"/>
      <c r="E1783" s="677"/>
      <c r="F1783" s="677"/>
      <c r="G1783" s="677"/>
      <c r="H1783" s="872"/>
      <c r="I1783" s="871"/>
      <c r="J1783" s="871"/>
      <c r="K1783" s="870"/>
      <c r="L1783" s="870"/>
      <c r="M1783" s="870"/>
      <c r="N1783" s="870"/>
      <c r="O1783" s="870"/>
      <c r="P1783" s="870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73"/>
      <c r="E1784" s="677"/>
      <c r="F1784" s="677"/>
      <c r="G1784" s="677"/>
      <c r="H1784" s="872"/>
      <c r="I1784" s="871"/>
      <c r="J1784" s="871"/>
      <c r="K1784" s="870"/>
      <c r="L1784" s="870"/>
      <c r="M1784" s="870"/>
      <c r="N1784" s="870"/>
      <c r="O1784" s="870"/>
      <c r="P1784" s="870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73"/>
      <c r="E1785" s="677"/>
      <c r="F1785" s="677"/>
      <c r="G1785" s="677"/>
      <c r="H1785" s="872"/>
      <c r="I1785" s="871"/>
      <c r="J1785" s="871"/>
      <c r="K1785" s="870"/>
      <c r="L1785" s="870"/>
      <c r="M1785" s="870"/>
      <c r="N1785" s="870"/>
      <c r="O1785" s="870"/>
      <c r="P1785" s="870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73"/>
      <c r="E1786" s="677"/>
      <c r="F1786" s="677"/>
      <c r="G1786" s="677"/>
      <c r="H1786" s="872"/>
      <c r="I1786" s="871"/>
      <c r="J1786" s="871"/>
      <c r="K1786" s="870"/>
      <c r="L1786" s="870"/>
      <c r="M1786" s="870"/>
      <c r="N1786" s="870"/>
      <c r="O1786" s="870"/>
      <c r="P1786" s="870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73"/>
      <c r="E1787" s="677"/>
      <c r="F1787" s="677"/>
      <c r="G1787" s="677"/>
      <c r="H1787" s="872"/>
      <c r="I1787" s="871"/>
      <c r="J1787" s="871"/>
      <c r="K1787" s="870"/>
      <c r="L1787" s="870"/>
      <c r="M1787" s="870"/>
      <c r="N1787" s="870"/>
      <c r="O1787" s="870"/>
      <c r="P1787" s="870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73"/>
      <c r="E1788" s="677"/>
      <c r="F1788" s="677"/>
      <c r="G1788" s="677"/>
      <c r="H1788" s="872"/>
      <c r="I1788" s="871"/>
      <c r="J1788" s="871"/>
      <c r="K1788" s="870"/>
      <c r="L1788" s="870"/>
      <c r="M1788" s="870"/>
      <c r="N1788" s="870"/>
      <c r="O1788" s="870"/>
      <c r="P1788" s="870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73"/>
      <c r="E1789" s="677"/>
      <c r="F1789" s="677"/>
      <c r="G1789" s="677"/>
      <c r="H1789" s="872"/>
      <c r="I1789" s="871"/>
      <c r="J1789" s="871"/>
      <c r="K1789" s="870"/>
      <c r="L1789" s="870"/>
      <c r="M1789" s="870"/>
      <c r="N1789" s="870"/>
      <c r="O1789" s="870"/>
      <c r="P1789" s="870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73"/>
      <c r="E1790" s="677"/>
      <c r="F1790" s="677"/>
      <c r="G1790" s="677"/>
      <c r="H1790" s="872"/>
      <c r="I1790" s="871"/>
      <c r="J1790" s="871"/>
      <c r="K1790" s="870"/>
      <c r="L1790" s="870"/>
      <c r="M1790" s="870"/>
      <c r="N1790" s="870"/>
      <c r="O1790" s="870"/>
      <c r="P1790" s="870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73"/>
      <c r="E1791" s="677"/>
      <c r="F1791" s="677"/>
      <c r="G1791" s="677"/>
      <c r="H1791" s="872"/>
      <c r="I1791" s="871"/>
      <c r="J1791" s="871"/>
      <c r="K1791" s="870"/>
      <c r="L1791" s="870"/>
      <c r="M1791" s="870"/>
      <c r="N1791" s="870"/>
      <c r="O1791" s="870"/>
      <c r="P1791" s="870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73"/>
      <c r="E1792" s="677"/>
      <c r="F1792" s="677"/>
      <c r="G1792" s="677"/>
      <c r="H1792" s="872"/>
      <c r="I1792" s="871"/>
      <c r="J1792" s="871"/>
      <c r="K1792" s="870"/>
      <c r="L1792" s="870"/>
      <c r="M1792" s="870"/>
      <c r="N1792" s="870"/>
      <c r="O1792" s="870"/>
      <c r="P1792" s="870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73"/>
      <c r="E1793" s="677"/>
      <c r="F1793" s="677"/>
      <c r="G1793" s="677"/>
      <c r="H1793" s="872"/>
      <c r="I1793" s="871"/>
      <c r="J1793" s="871"/>
      <c r="K1793" s="870"/>
      <c r="L1793" s="870"/>
      <c r="M1793" s="870"/>
      <c r="N1793" s="870"/>
      <c r="O1793" s="870"/>
      <c r="P1793" s="870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73"/>
      <c r="E1794" s="677"/>
      <c r="F1794" s="677"/>
      <c r="G1794" s="677"/>
      <c r="H1794" s="872"/>
      <c r="I1794" s="871"/>
      <c r="J1794" s="871"/>
      <c r="K1794" s="870"/>
      <c r="L1794" s="870"/>
      <c r="M1794" s="870"/>
      <c r="N1794" s="870"/>
      <c r="O1794" s="870"/>
      <c r="P1794" s="870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73"/>
      <c r="E1795" s="677"/>
      <c r="F1795" s="677"/>
      <c r="G1795" s="677"/>
      <c r="H1795" s="872"/>
      <c r="I1795" s="871"/>
      <c r="J1795" s="871"/>
      <c r="K1795" s="870"/>
      <c r="L1795" s="870"/>
      <c r="M1795" s="870"/>
      <c r="N1795" s="870"/>
      <c r="O1795" s="870"/>
      <c r="P1795" s="870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73"/>
      <c r="E1796" s="677"/>
      <c r="F1796" s="677"/>
      <c r="G1796" s="677"/>
      <c r="H1796" s="872"/>
      <c r="I1796" s="871"/>
      <c r="J1796" s="871"/>
      <c r="K1796" s="870"/>
      <c r="L1796" s="870"/>
      <c r="M1796" s="870"/>
      <c r="N1796" s="870"/>
      <c r="O1796" s="870"/>
      <c r="P1796" s="870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73"/>
      <c r="E1797" s="677"/>
      <c r="F1797" s="677"/>
      <c r="G1797" s="677"/>
      <c r="H1797" s="872"/>
      <c r="I1797" s="871"/>
      <c r="J1797" s="871"/>
      <c r="K1797" s="870"/>
      <c r="L1797" s="870"/>
      <c r="M1797" s="870"/>
      <c r="N1797" s="870"/>
      <c r="O1797" s="870"/>
      <c r="P1797" s="870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73"/>
      <c r="E1798" s="677"/>
      <c r="F1798" s="677"/>
      <c r="G1798" s="677"/>
      <c r="H1798" s="872"/>
      <c r="I1798" s="871"/>
      <c r="J1798" s="871"/>
      <c r="K1798" s="870"/>
      <c r="L1798" s="870"/>
      <c r="M1798" s="870"/>
      <c r="N1798" s="870"/>
      <c r="O1798" s="870"/>
      <c r="P1798" s="870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73"/>
      <c r="E1799" s="677"/>
      <c r="F1799" s="677"/>
      <c r="G1799" s="677"/>
      <c r="H1799" s="872"/>
      <c r="I1799" s="871"/>
      <c r="J1799" s="871"/>
      <c r="K1799" s="870"/>
      <c r="L1799" s="870"/>
      <c r="M1799" s="870"/>
      <c r="N1799" s="870"/>
      <c r="O1799" s="870"/>
      <c r="P1799" s="870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73"/>
      <c r="E1800" s="677"/>
      <c r="F1800" s="677"/>
      <c r="G1800" s="677"/>
      <c r="H1800" s="872"/>
      <c r="I1800" s="871"/>
      <c r="J1800" s="871"/>
      <c r="K1800" s="870"/>
      <c r="L1800" s="870"/>
      <c r="M1800" s="870"/>
      <c r="N1800" s="870"/>
      <c r="O1800" s="870"/>
      <c r="P1800" s="870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73"/>
      <c r="E1801" s="677"/>
      <c r="F1801" s="677"/>
      <c r="G1801" s="677"/>
      <c r="H1801" s="872"/>
      <c r="I1801" s="871"/>
      <c r="J1801" s="871"/>
      <c r="K1801" s="870"/>
      <c r="L1801" s="870"/>
      <c r="M1801" s="870"/>
      <c r="N1801" s="870"/>
      <c r="O1801" s="870"/>
      <c r="P1801" s="870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73"/>
      <c r="E1802" s="677"/>
      <c r="F1802" s="677"/>
      <c r="G1802" s="677"/>
      <c r="H1802" s="872"/>
      <c r="I1802" s="871"/>
      <c r="J1802" s="871"/>
      <c r="K1802" s="870"/>
      <c r="L1802" s="870"/>
      <c r="M1802" s="870"/>
      <c r="N1802" s="870"/>
      <c r="O1802" s="870"/>
      <c r="P1802" s="870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73"/>
      <c r="E1803" s="677"/>
      <c r="F1803" s="677"/>
      <c r="G1803" s="677"/>
      <c r="H1803" s="872"/>
      <c r="I1803" s="871"/>
      <c r="J1803" s="871"/>
      <c r="K1803" s="870"/>
      <c r="L1803" s="870"/>
      <c r="M1803" s="870"/>
      <c r="N1803" s="870"/>
      <c r="O1803" s="870"/>
      <c r="P1803" s="870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73"/>
      <c r="E1804" s="677"/>
      <c r="F1804" s="677"/>
      <c r="G1804" s="677"/>
      <c r="H1804" s="872"/>
      <c r="I1804" s="871"/>
      <c r="J1804" s="871"/>
      <c r="K1804" s="870"/>
      <c r="L1804" s="870"/>
      <c r="M1804" s="870"/>
      <c r="N1804" s="870"/>
      <c r="O1804" s="870"/>
      <c r="P1804" s="870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73"/>
      <c r="E1805" s="677"/>
      <c r="F1805" s="677"/>
      <c r="G1805" s="677"/>
      <c r="H1805" s="872"/>
      <c r="I1805" s="871"/>
      <c r="J1805" s="871"/>
      <c r="K1805" s="870"/>
      <c r="L1805" s="870"/>
      <c r="M1805" s="870"/>
      <c r="N1805" s="870"/>
      <c r="O1805" s="870"/>
      <c r="P1805" s="870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73"/>
      <c r="E1806" s="677"/>
      <c r="F1806" s="677"/>
      <c r="G1806" s="677"/>
      <c r="H1806" s="872"/>
      <c r="I1806" s="871"/>
      <c r="J1806" s="871"/>
      <c r="K1806" s="870"/>
      <c r="L1806" s="870"/>
      <c r="M1806" s="870"/>
      <c r="N1806" s="870"/>
      <c r="O1806" s="870"/>
      <c r="P1806" s="870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73"/>
      <c r="E1807" s="677"/>
      <c r="F1807" s="677"/>
      <c r="G1807" s="677"/>
      <c r="H1807" s="872"/>
      <c r="I1807" s="871"/>
      <c r="J1807" s="871"/>
      <c r="K1807" s="870"/>
      <c r="L1807" s="870"/>
      <c r="M1807" s="870"/>
      <c r="N1807" s="870"/>
      <c r="O1807" s="870"/>
      <c r="P1807" s="870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73"/>
      <c r="E1808" s="677"/>
      <c r="F1808" s="677"/>
      <c r="G1808" s="677"/>
      <c r="H1808" s="872"/>
      <c r="I1808" s="871"/>
      <c r="J1808" s="871"/>
      <c r="K1808" s="870"/>
      <c r="L1808" s="870"/>
      <c r="M1808" s="870"/>
      <c r="N1808" s="870"/>
      <c r="O1808" s="870"/>
      <c r="P1808" s="870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73"/>
      <c r="E1809" s="677"/>
      <c r="F1809" s="677"/>
      <c r="G1809" s="677"/>
      <c r="H1809" s="872"/>
      <c r="I1809" s="871"/>
      <c r="J1809" s="871"/>
      <c r="K1809" s="870"/>
      <c r="L1809" s="870"/>
      <c r="M1809" s="870"/>
      <c r="N1809" s="870"/>
      <c r="O1809" s="870"/>
      <c r="P1809" s="870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73"/>
      <c r="E1810" s="677"/>
      <c r="F1810" s="677"/>
      <c r="G1810" s="677"/>
      <c r="H1810" s="872"/>
      <c r="I1810" s="871"/>
      <c r="J1810" s="871"/>
      <c r="K1810" s="870"/>
      <c r="L1810" s="870"/>
      <c r="M1810" s="870"/>
      <c r="N1810" s="870"/>
      <c r="O1810" s="870"/>
      <c r="P1810" s="870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73"/>
      <c r="E1811" s="677"/>
      <c r="F1811" s="677"/>
      <c r="G1811" s="677"/>
      <c r="H1811" s="872"/>
      <c r="I1811" s="871"/>
      <c r="J1811" s="871"/>
      <c r="K1811" s="870"/>
      <c r="L1811" s="870"/>
      <c r="M1811" s="870"/>
      <c r="N1811" s="870"/>
      <c r="O1811" s="870"/>
      <c r="P1811" s="870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73"/>
      <c r="E1812" s="677"/>
      <c r="F1812" s="677"/>
      <c r="G1812" s="677"/>
      <c r="H1812" s="872"/>
      <c r="I1812" s="871"/>
      <c r="J1812" s="871"/>
      <c r="K1812" s="870"/>
      <c r="L1812" s="870"/>
      <c r="M1812" s="870"/>
      <c r="N1812" s="870"/>
      <c r="O1812" s="870"/>
      <c r="P1812" s="870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73"/>
      <c r="E1813" s="677"/>
      <c r="F1813" s="677"/>
      <c r="G1813" s="677"/>
      <c r="H1813" s="872"/>
      <c r="I1813" s="871"/>
      <c r="J1813" s="871"/>
      <c r="K1813" s="870"/>
      <c r="L1813" s="870"/>
      <c r="M1813" s="870"/>
      <c r="N1813" s="870"/>
      <c r="O1813" s="870"/>
      <c r="P1813" s="870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73"/>
      <c r="E1814" s="677"/>
      <c r="F1814" s="677"/>
      <c r="G1814" s="677"/>
      <c r="H1814" s="872"/>
      <c r="I1814" s="871"/>
      <c r="J1814" s="871"/>
      <c r="K1814" s="870"/>
      <c r="L1814" s="870"/>
      <c r="M1814" s="870"/>
      <c r="N1814" s="870"/>
      <c r="O1814" s="870"/>
      <c r="P1814" s="870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73"/>
      <c r="E1815" s="677"/>
      <c r="F1815" s="677"/>
      <c r="G1815" s="677"/>
      <c r="H1815" s="872"/>
      <c r="I1815" s="871"/>
      <c r="J1815" s="871"/>
      <c r="K1815" s="870"/>
      <c r="L1815" s="870"/>
      <c r="M1815" s="870"/>
      <c r="N1815" s="870"/>
      <c r="O1815" s="870"/>
      <c r="P1815" s="870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73"/>
      <c r="E1816" s="677"/>
      <c r="F1816" s="677"/>
      <c r="G1816" s="677"/>
      <c r="H1816" s="872"/>
      <c r="I1816" s="871"/>
      <c r="J1816" s="871"/>
      <c r="K1816" s="870"/>
      <c r="L1816" s="870"/>
      <c r="M1816" s="870"/>
      <c r="N1816" s="870"/>
      <c r="O1816" s="870"/>
      <c r="P1816" s="870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73"/>
      <c r="E1817" s="677"/>
      <c r="F1817" s="677"/>
      <c r="G1817" s="677"/>
      <c r="H1817" s="872"/>
      <c r="I1817" s="871"/>
      <c r="J1817" s="871"/>
      <c r="K1817" s="870"/>
      <c r="L1817" s="870"/>
      <c r="M1817" s="870"/>
      <c r="N1817" s="870"/>
      <c r="O1817" s="870"/>
      <c r="P1817" s="870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73"/>
      <c r="E1818" s="677"/>
      <c r="F1818" s="677"/>
      <c r="G1818" s="677"/>
      <c r="H1818" s="872"/>
      <c r="I1818" s="871"/>
      <c r="J1818" s="871"/>
      <c r="K1818" s="870"/>
      <c r="L1818" s="870"/>
      <c r="M1818" s="870"/>
      <c r="N1818" s="870"/>
      <c r="O1818" s="870"/>
      <c r="P1818" s="870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73"/>
      <c r="E1819" s="677"/>
      <c r="F1819" s="677"/>
      <c r="G1819" s="677"/>
      <c r="H1819" s="872"/>
      <c r="I1819" s="871"/>
      <c r="J1819" s="871"/>
      <c r="K1819" s="870"/>
      <c r="L1819" s="870"/>
      <c r="M1819" s="870"/>
      <c r="N1819" s="870"/>
      <c r="O1819" s="870"/>
      <c r="P1819" s="870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73"/>
      <c r="E1820" s="677"/>
      <c r="F1820" s="677"/>
      <c r="G1820" s="677"/>
      <c r="H1820" s="872"/>
      <c r="I1820" s="871"/>
      <c r="J1820" s="871"/>
      <c r="K1820" s="870"/>
      <c r="L1820" s="870"/>
      <c r="M1820" s="870"/>
      <c r="N1820" s="870"/>
      <c r="O1820" s="870"/>
      <c r="P1820" s="870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73"/>
      <c r="E1821" s="677"/>
      <c r="F1821" s="677"/>
      <c r="G1821" s="677"/>
      <c r="H1821" s="872"/>
      <c r="I1821" s="871"/>
      <c r="J1821" s="871"/>
      <c r="K1821" s="870"/>
      <c r="L1821" s="870"/>
      <c r="M1821" s="870"/>
      <c r="N1821" s="870"/>
      <c r="O1821" s="870"/>
      <c r="P1821" s="870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73"/>
      <c r="E1822" s="677"/>
      <c r="F1822" s="677"/>
      <c r="G1822" s="677"/>
      <c r="H1822" s="872"/>
      <c r="I1822" s="871"/>
      <c r="J1822" s="871"/>
      <c r="K1822" s="870"/>
      <c r="L1822" s="870"/>
      <c r="M1822" s="870"/>
      <c r="N1822" s="870"/>
      <c r="O1822" s="870"/>
      <c r="P1822" s="870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73"/>
      <c r="E1823" s="677"/>
      <c r="F1823" s="677"/>
      <c r="G1823" s="677"/>
      <c r="H1823" s="872"/>
      <c r="I1823" s="871"/>
      <c r="J1823" s="871"/>
      <c r="K1823" s="870"/>
      <c r="L1823" s="870"/>
      <c r="M1823" s="870"/>
      <c r="N1823" s="870"/>
      <c r="O1823" s="870"/>
      <c r="P1823" s="870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73"/>
      <c r="E1824" s="677"/>
      <c r="F1824" s="677"/>
      <c r="G1824" s="677"/>
      <c r="H1824" s="872"/>
      <c r="I1824" s="871"/>
      <c r="J1824" s="871"/>
      <c r="K1824" s="870"/>
      <c r="L1824" s="870"/>
      <c r="M1824" s="870"/>
      <c r="N1824" s="870"/>
      <c r="O1824" s="870"/>
      <c r="P1824" s="870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73"/>
      <c r="E1825" s="677"/>
      <c r="F1825" s="677"/>
      <c r="G1825" s="677"/>
      <c r="H1825" s="872"/>
      <c r="I1825" s="871"/>
      <c r="J1825" s="871"/>
      <c r="K1825" s="870"/>
      <c r="L1825" s="870"/>
      <c r="M1825" s="870"/>
      <c r="N1825" s="870"/>
      <c r="O1825" s="870"/>
      <c r="P1825" s="870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73"/>
      <c r="E1826" s="677"/>
      <c r="F1826" s="677"/>
      <c r="G1826" s="677"/>
      <c r="H1826" s="872"/>
      <c r="I1826" s="871"/>
      <c r="J1826" s="871"/>
      <c r="K1826" s="870"/>
      <c r="L1826" s="870"/>
      <c r="M1826" s="870"/>
      <c r="N1826" s="870"/>
      <c r="O1826" s="870"/>
      <c r="P1826" s="870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73"/>
      <c r="E1827" s="677"/>
      <c r="F1827" s="677"/>
      <c r="G1827" s="677"/>
      <c r="H1827" s="872"/>
      <c r="I1827" s="871"/>
      <c r="J1827" s="871"/>
      <c r="K1827" s="870"/>
      <c r="L1827" s="870"/>
      <c r="M1827" s="870"/>
      <c r="N1827" s="870"/>
      <c r="O1827" s="870"/>
      <c r="P1827" s="870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73"/>
      <c r="E1828" s="677"/>
      <c r="F1828" s="677"/>
      <c r="G1828" s="677"/>
      <c r="H1828" s="872"/>
      <c r="I1828" s="871"/>
      <c r="J1828" s="871"/>
      <c r="K1828" s="870"/>
      <c r="L1828" s="870"/>
      <c r="M1828" s="870"/>
      <c r="N1828" s="870"/>
      <c r="O1828" s="870"/>
      <c r="P1828" s="870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73"/>
      <c r="E1829" s="677"/>
      <c r="F1829" s="677"/>
      <c r="G1829" s="677"/>
      <c r="H1829" s="872"/>
      <c r="I1829" s="871"/>
      <c r="J1829" s="871"/>
      <c r="K1829" s="870"/>
      <c r="L1829" s="870"/>
      <c r="M1829" s="870"/>
      <c r="N1829" s="870"/>
      <c r="O1829" s="870"/>
      <c r="P1829" s="870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73"/>
      <c r="E1830" s="677"/>
      <c r="F1830" s="677"/>
      <c r="G1830" s="677"/>
      <c r="H1830" s="872"/>
      <c r="I1830" s="871"/>
      <c r="J1830" s="871"/>
      <c r="K1830" s="870"/>
      <c r="L1830" s="870"/>
      <c r="M1830" s="870"/>
      <c r="N1830" s="870"/>
      <c r="O1830" s="870"/>
      <c r="P1830" s="870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73"/>
      <c r="E1831" s="677"/>
      <c r="F1831" s="677"/>
      <c r="G1831" s="677"/>
      <c r="H1831" s="872"/>
      <c r="I1831" s="871"/>
      <c r="J1831" s="871"/>
      <c r="K1831" s="870"/>
      <c r="L1831" s="870"/>
      <c r="M1831" s="870"/>
      <c r="N1831" s="870"/>
      <c r="O1831" s="870"/>
      <c r="P1831" s="870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73"/>
      <c r="E1832" s="677"/>
      <c r="F1832" s="677"/>
      <c r="G1832" s="677"/>
      <c r="H1832" s="872"/>
      <c r="I1832" s="871"/>
      <c r="J1832" s="871"/>
      <c r="K1832" s="870"/>
      <c r="L1832" s="870"/>
      <c r="M1832" s="870"/>
      <c r="N1832" s="870"/>
      <c r="O1832" s="870"/>
      <c r="P1832" s="870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73"/>
      <c r="E1833" s="677"/>
      <c r="F1833" s="677"/>
      <c r="G1833" s="677"/>
      <c r="H1833" s="872"/>
      <c r="I1833" s="871"/>
      <c r="J1833" s="871"/>
      <c r="K1833" s="870"/>
      <c r="L1833" s="870"/>
      <c r="M1833" s="870"/>
      <c r="N1833" s="870"/>
      <c r="O1833" s="870"/>
      <c r="P1833" s="870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73"/>
      <c r="E1834" s="677"/>
      <c r="F1834" s="677"/>
      <c r="G1834" s="677"/>
      <c r="H1834" s="872"/>
      <c r="I1834" s="871"/>
      <c r="J1834" s="871"/>
      <c r="K1834" s="870"/>
      <c r="L1834" s="870"/>
      <c r="M1834" s="870"/>
      <c r="N1834" s="870"/>
      <c r="O1834" s="870"/>
      <c r="P1834" s="870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73"/>
      <c r="E1835" s="677"/>
      <c r="F1835" s="677"/>
      <c r="G1835" s="677"/>
      <c r="H1835" s="872"/>
      <c r="I1835" s="871"/>
      <c r="J1835" s="871"/>
      <c r="K1835" s="870"/>
      <c r="L1835" s="870"/>
      <c r="M1835" s="870"/>
      <c r="N1835" s="870"/>
      <c r="O1835" s="870"/>
      <c r="P1835" s="870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73"/>
      <c r="E1836" s="677"/>
      <c r="F1836" s="677"/>
      <c r="G1836" s="677"/>
      <c r="H1836" s="872"/>
      <c r="I1836" s="871"/>
      <c r="J1836" s="871"/>
      <c r="K1836" s="870"/>
      <c r="L1836" s="870"/>
      <c r="M1836" s="870"/>
      <c r="N1836" s="870"/>
      <c r="O1836" s="870"/>
      <c r="P1836" s="870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73"/>
      <c r="E1837" s="677"/>
      <c r="F1837" s="677"/>
      <c r="G1837" s="677"/>
      <c r="H1837" s="872"/>
      <c r="I1837" s="871"/>
      <c r="J1837" s="871"/>
      <c r="K1837" s="870"/>
      <c r="L1837" s="870"/>
      <c r="M1837" s="870"/>
      <c r="N1837" s="870"/>
      <c r="O1837" s="870"/>
      <c r="P1837" s="870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73"/>
      <c r="E1838" s="677"/>
      <c r="F1838" s="677"/>
      <c r="G1838" s="677"/>
      <c r="H1838" s="872"/>
      <c r="I1838" s="871"/>
      <c r="J1838" s="871"/>
      <c r="K1838" s="870"/>
      <c r="L1838" s="870"/>
      <c r="M1838" s="870"/>
      <c r="N1838" s="870"/>
      <c r="O1838" s="870"/>
      <c r="P1838" s="870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73"/>
      <c r="E1839" s="677"/>
      <c r="F1839" s="677"/>
      <c r="G1839" s="677"/>
      <c r="H1839" s="872"/>
      <c r="I1839" s="871"/>
      <c r="J1839" s="871"/>
      <c r="K1839" s="870"/>
      <c r="L1839" s="870"/>
      <c r="M1839" s="870"/>
      <c r="N1839" s="870"/>
      <c r="O1839" s="870"/>
      <c r="P1839" s="870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73"/>
      <c r="E1840" s="677"/>
      <c r="F1840" s="677"/>
      <c r="G1840" s="677"/>
      <c r="H1840" s="872"/>
      <c r="I1840" s="871"/>
      <c r="J1840" s="871"/>
      <c r="K1840" s="870"/>
      <c r="L1840" s="870"/>
      <c r="M1840" s="870"/>
      <c r="N1840" s="870"/>
      <c r="O1840" s="870"/>
      <c r="P1840" s="870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73"/>
      <c r="E1841" s="677"/>
      <c r="F1841" s="677"/>
      <c r="G1841" s="677"/>
      <c r="H1841" s="872"/>
      <c r="I1841" s="871"/>
      <c r="J1841" s="871"/>
      <c r="K1841" s="870"/>
      <c r="L1841" s="870"/>
      <c r="M1841" s="870"/>
      <c r="N1841" s="870"/>
      <c r="O1841" s="870"/>
      <c r="P1841" s="870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73"/>
      <c r="E1842" s="677"/>
      <c r="F1842" s="677"/>
      <c r="G1842" s="677"/>
      <c r="H1842" s="872"/>
      <c r="I1842" s="871"/>
      <c r="J1842" s="871"/>
      <c r="K1842" s="870"/>
      <c r="L1842" s="870"/>
      <c r="M1842" s="870"/>
      <c r="N1842" s="870"/>
      <c r="O1842" s="870"/>
      <c r="P1842" s="870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73"/>
      <c r="E1843" s="677"/>
      <c r="F1843" s="677"/>
      <c r="G1843" s="677"/>
      <c r="H1843" s="872"/>
      <c r="I1843" s="871"/>
      <c r="J1843" s="871"/>
      <c r="K1843" s="870"/>
      <c r="L1843" s="870"/>
      <c r="M1843" s="870"/>
      <c r="N1843" s="870"/>
      <c r="O1843" s="870"/>
      <c r="P1843" s="870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73"/>
      <c r="E1844" s="677"/>
      <c r="F1844" s="677"/>
      <c r="G1844" s="677"/>
      <c r="H1844" s="872"/>
      <c r="I1844" s="871"/>
      <c r="J1844" s="871"/>
      <c r="K1844" s="870"/>
      <c r="L1844" s="870"/>
      <c r="M1844" s="870"/>
      <c r="N1844" s="870"/>
      <c r="O1844" s="870"/>
      <c r="P1844" s="870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73"/>
      <c r="E1845" s="677"/>
      <c r="F1845" s="677"/>
      <c r="G1845" s="677"/>
      <c r="H1845" s="872"/>
      <c r="I1845" s="871"/>
      <c r="J1845" s="871"/>
      <c r="K1845" s="870"/>
      <c r="L1845" s="870"/>
      <c r="M1845" s="870"/>
      <c r="N1845" s="870"/>
      <c r="O1845" s="870"/>
      <c r="P1845" s="870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73"/>
      <c r="E1846" s="677"/>
      <c r="F1846" s="677"/>
      <c r="G1846" s="677"/>
      <c r="H1846" s="872"/>
      <c r="I1846" s="871"/>
      <c r="J1846" s="871"/>
      <c r="K1846" s="870"/>
      <c r="L1846" s="870"/>
      <c r="M1846" s="870"/>
      <c r="N1846" s="870"/>
      <c r="O1846" s="870"/>
      <c r="P1846" s="870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73"/>
      <c r="E1847" s="677"/>
      <c r="F1847" s="677"/>
      <c r="G1847" s="677"/>
      <c r="H1847" s="872"/>
      <c r="I1847" s="871"/>
      <c r="J1847" s="871"/>
      <c r="K1847" s="870"/>
      <c r="L1847" s="870"/>
      <c r="M1847" s="870"/>
      <c r="N1847" s="870"/>
      <c r="O1847" s="870"/>
      <c r="P1847" s="870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73"/>
      <c r="E1848" s="677"/>
      <c r="F1848" s="677"/>
      <c r="G1848" s="677"/>
      <c r="H1848" s="872"/>
      <c r="I1848" s="871"/>
      <c r="J1848" s="871"/>
      <c r="K1848" s="870"/>
      <c r="L1848" s="870"/>
      <c r="M1848" s="870"/>
      <c r="N1848" s="870"/>
      <c r="O1848" s="870"/>
      <c r="P1848" s="870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73"/>
      <c r="E1849" s="677"/>
      <c r="F1849" s="677"/>
      <c r="G1849" s="677"/>
      <c r="H1849" s="872"/>
      <c r="I1849" s="871"/>
      <c r="J1849" s="871"/>
      <c r="K1849" s="870"/>
      <c r="L1849" s="870"/>
      <c r="M1849" s="870"/>
      <c r="N1849" s="870"/>
      <c r="O1849" s="870"/>
      <c r="P1849" s="870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73"/>
      <c r="E1850" s="677"/>
      <c r="F1850" s="677"/>
      <c r="G1850" s="677"/>
      <c r="H1850" s="872"/>
      <c r="I1850" s="871"/>
      <c r="J1850" s="871"/>
      <c r="K1850" s="870"/>
      <c r="L1850" s="870"/>
      <c r="M1850" s="870"/>
      <c r="N1850" s="870"/>
      <c r="O1850" s="870"/>
      <c r="P1850" s="870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73"/>
      <c r="E1851" s="677"/>
      <c r="F1851" s="677"/>
      <c r="G1851" s="677"/>
      <c r="H1851" s="872"/>
      <c r="I1851" s="871"/>
      <c r="J1851" s="871"/>
      <c r="K1851" s="870"/>
      <c r="L1851" s="870"/>
      <c r="M1851" s="870"/>
      <c r="N1851" s="870"/>
      <c r="O1851" s="870"/>
      <c r="P1851" s="870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73"/>
      <c r="E1852" s="677"/>
      <c r="F1852" s="677"/>
      <c r="G1852" s="677"/>
      <c r="H1852" s="872"/>
      <c r="I1852" s="871"/>
      <c r="J1852" s="871"/>
      <c r="K1852" s="870"/>
      <c r="L1852" s="870"/>
      <c r="M1852" s="870"/>
      <c r="N1852" s="870"/>
      <c r="O1852" s="870"/>
      <c r="P1852" s="870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73"/>
      <c r="E1853" s="677"/>
      <c r="F1853" s="677"/>
      <c r="G1853" s="677"/>
      <c r="H1853" s="872"/>
      <c r="I1853" s="871"/>
      <c r="J1853" s="871"/>
      <c r="K1853" s="870"/>
      <c r="L1853" s="870"/>
      <c r="M1853" s="870"/>
      <c r="N1853" s="870"/>
      <c r="O1853" s="870"/>
      <c r="P1853" s="870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73"/>
      <c r="E1854" s="677"/>
      <c r="F1854" s="677"/>
      <c r="G1854" s="677"/>
      <c r="H1854" s="872"/>
      <c r="I1854" s="871"/>
      <c r="J1854" s="871"/>
      <c r="K1854" s="870"/>
      <c r="L1854" s="870"/>
      <c r="M1854" s="870"/>
      <c r="N1854" s="870"/>
      <c r="O1854" s="870"/>
      <c r="P1854" s="870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73"/>
      <c r="E1855" s="677"/>
      <c r="F1855" s="677"/>
      <c r="G1855" s="677"/>
      <c r="H1855" s="872"/>
      <c r="I1855" s="871"/>
      <c r="J1855" s="871"/>
      <c r="K1855" s="870"/>
      <c r="L1855" s="870"/>
      <c r="M1855" s="870"/>
      <c r="N1855" s="870"/>
      <c r="O1855" s="870"/>
      <c r="P1855" s="870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73"/>
      <c r="E1856" s="677"/>
      <c r="F1856" s="677"/>
      <c r="G1856" s="677"/>
      <c r="H1856" s="872"/>
      <c r="I1856" s="871"/>
      <c r="J1856" s="871"/>
      <c r="K1856" s="870"/>
      <c r="L1856" s="870"/>
      <c r="M1856" s="870"/>
      <c r="N1856" s="870"/>
      <c r="O1856" s="870"/>
      <c r="P1856" s="870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73"/>
      <c r="E1857" s="677"/>
      <c r="F1857" s="677"/>
      <c r="G1857" s="677"/>
      <c r="H1857" s="872"/>
      <c r="I1857" s="871"/>
      <c r="J1857" s="871"/>
      <c r="K1857" s="870"/>
      <c r="L1857" s="870"/>
      <c r="M1857" s="870"/>
      <c r="N1857" s="870"/>
      <c r="O1857" s="870"/>
      <c r="P1857" s="870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73"/>
      <c r="E1858" s="677"/>
      <c r="F1858" s="677"/>
      <c r="G1858" s="677"/>
      <c r="H1858" s="872"/>
      <c r="I1858" s="871"/>
      <c r="J1858" s="871"/>
      <c r="K1858" s="870"/>
      <c r="L1858" s="870"/>
      <c r="M1858" s="870"/>
      <c r="N1858" s="870"/>
      <c r="O1858" s="870"/>
      <c r="P1858" s="870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73"/>
      <c r="E1859" s="677"/>
      <c r="F1859" s="677"/>
      <c r="G1859" s="677"/>
      <c r="H1859" s="872"/>
      <c r="I1859" s="871"/>
      <c r="J1859" s="871"/>
      <c r="K1859" s="870"/>
      <c r="L1859" s="870"/>
      <c r="M1859" s="870"/>
      <c r="N1859" s="870"/>
      <c r="O1859" s="870"/>
      <c r="P1859" s="870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73"/>
      <c r="E1860" s="677"/>
      <c r="F1860" s="677"/>
      <c r="G1860" s="677"/>
      <c r="H1860" s="872"/>
      <c r="I1860" s="871"/>
      <c r="J1860" s="871"/>
      <c r="K1860" s="870"/>
      <c r="L1860" s="870"/>
      <c r="M1860" s="870"/>
      <c r="N1860" s="870"/>
      <c r="O1860" s="870"/>
      <c r="P1860" s="870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73"/>
      <c r="E1861" s="677"/>
      <c r="F1861" s="677"/>
      <c r="G1861" s="677"/>
      <c r="H1861" s="872"/>
      <c r="I1861" s="871"/>
      <c r="J1861" s="871"/>
      <c r="K1861" s="870"/>
      <c r="L1861" s="870"/>
      <c r="M1861" s="870"/>
      <c r="N1861" s="870"/>
      <c r="O1861" s="870"/>
      <c r="P1861" s="870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73"/>
      <c r="E1862" s="677"/>
      <c r="F1862" s="677"/>
      <c r="G1862" s="677"/>
      <c r="H1862" s="872"/>
      <c r="I1862" s="871"/>
      <c r="J1862" s="871"/>
      <c r="K1862" s="870"/>
      <c r="L1862" s="870"/>
      <c r="M1862" s="870"/>
      <c r="N1862" s="870"/>
      <c r="O1862" s="870"/>
      <c r="P1862" s="870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73"/>
      <c r="E1863" s="677"/>
      <c r="F1863" s="677"/>
      <c r="G1863" s="677"/>
      <c r="H1863" s="872"/>
      <c r="I1863" s="871"/>
      <c r="J1863" s="871"/>
      <c r="K1863" s="870"/>
      <c r="L1863" s="870"/>
      <c r="M1863" s="870"/>
      <c r="N1863" s="870"/>
      <c r="O1863" s="870"/>
      <c r="P1863" s="870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73"/>
      <c r="E1864" s="677"/>
      <c r="F1864" s="677"/>
      <c r="G1864" s="677"/>
      <c r="H1864" s="872"/>
      <c r="I1864" s="871"/>
      <c r="J1864" s="871"/>
      <c r="K1864" s="870"/>
      <c r="L1864" s="870"/>
      <c r="M1864" s="870"/>
      <c r="N1864" s="870"/>
      <c r="O1864" s="870"/>
      <c r="P1864" s="870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73"/>
      <c r="E1865" s="677"/>
      <c r="F1865" s="677"/>
      <c r="G1865" s="677"/>
      <c r="H1865" s="872"/>
      <c r="I1865" s="871"/>
      <c r="J1865" s="871"/>
      <c r="K1865" s="870"/>
      <c r="L1865" s="870"/>
      <c r="M1865" s="870"/>
      <c r="N1865" s="870"/>
      <c r="O1865" s="870"/>
      <c r="P1865" s="870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73"/>
      <c r="E1866" s="677"/>
      <c r="F1866" s="677"/>
      <c r="G1866" s="677"/>
      <c r="H1866" s="872"/>
      <c r="I1866" s="871"/>
      <c r="J1866" s="871"/>
      <c r="K1866" s="870"/>
      <c r="L1866" s="870"/>
      <c r="M1866" s="870"/>
      <c r="N1866" s="870"/>
      <c r="O1866" s="870"/>
      <c r="P1866" s="870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73"/>
      <c r="E1867" s="677"/>
      <c r="F1867" s="677"/>
      <c r="G1867" s="677"/>
      <c r="H1867" s="872"/>
      <c r="I1867" s="871"/>
      <c r="J1867" s="871"/>
      <c r="K1867" s="870"/>
      <c r="L1867" s="870"/>
      <c r="M1867" s="870"/>
      <c r="N1867" s="870"/>
      <c r="O1867" s="870"/>
      <c r="P1867" s="870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73"/>
      <c r="E1868" s="677"/>
      <c r="F1868" s="677"/>
      <c r="G1868" s="677"/>
      <c r="H1868" s="872"/>
      <c r="I1868" s="871"/>
      <c r="J1868" s="871"/>
      <c r="K1868" s="870"/>
      <c r="L1868" s="870"/>
      <c r="M1868" s="870"/>
      <c r="N1868" s="870"/>
      <c r="O1868" s="870"/>
      <c r="P1868" s="870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73"/>
      <c r="E1869" s="677"/>
      <c r="F1869" s="677"/>
      <c r="G1869" s="677"/>
      <c r="H1869" s="872"/>
      <c r="I1869" s="871"/>
      <c r="J1869" s="871"/>
      <c r="K1869" s="870"/>
      <c r="L1869" s="870"/>
      <c r="M1869" s="870"/>
      <c r="N1869" s="870"/>
      <c r="O1869" s="870"/>
      <c r="P1869" s="870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73"/>
      <c r="E1870" s="677"/>
      <c r="F1870" s="677"/>
      <c r="G1870" s="677"/>
      <c r="H1870" s="872"/>
      <c r="I1870" s="871"/>
      <c r="J1870" s="871"/>
      <c r="K1870" s="870"/>
      <c r="L1870" s="870"/>
      <c r="M1870" s="870"/>
      <c r="N1870" s="870"/>
      <c r="O1870" s="870"/>
      <c r="P1870" s="870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73"/>
      <c r="E1871" s="677"/>
      <c r="F1871" s="677"/>
      <c r="G1871" s="677"/>
      <c r="H1871" s="872"/>
      <c r="I1871" s="871"/>
      <c r="J1871" s="871"/>
      <c r="K1871" s="870"/>
      <c r="L1871" s="870"/>
      <c r="M1871" s="870"/>
      <c r="N1871" s="870"/>
      <c r="O1871" s="870"/>
      <c r="P1871" s="870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73"/>
      <c r="E1872" s="677"/>
      <c r="F1872" s="677"/>
      <c r="G1872" s="677"/>
      <c r="H1872" s="872"/>
      <c r="I1872" s="871"/>
      <c r="J1872" s="871"/>
      <c r="K1872" s="870"/>
      <c r="L1872" s="870"/>
      <c r="M1872" s="870"/>
      <c r="N1872" s="870"/>
      <c r="O1872" s="870"/>
      <c r="P1872" s="870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73"/>
      <c r="E1873" s="677"/>
      <c r="F1873" s="677"/>
      <c r="G1873" s="677"/>
      <c r="H1873" s="872"/>
      <c r="I1873" s="871"/>
      <c r="J1873" s="871"/>
      <c r="K1873" s="870"/>
      <c r="L1873" s="870"/>
      <c r="M1873" s="870"/>
      <c r="N1873" s="870"/>
      <c r="O1873" s="870"/>
      <c r="P1873" s="870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73"/>
      <c r="E1874" s="677"/>
      <c r="F1874" s="677"/>
      <c r="G1874" s="677"/>
      <c r="H1874" s="872"/>
      <c r="I1874" s="871"/>
      <c r="J1874" s="871"/>
      <c r="K1874" s="870"/>
      <c r="L1874" s="870"/>
      <c r="M1874" s="870"/>
      <c r="N1874" s="870"/>
      <c r="O1874" s="870"/>
      <c r="P1874" s="870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73"/>
      <c r="E1875" s="677"/>
      <c r="F1875" s="677"/>
      <c r="G1875" s="677"/>
      <c r="H1875" s="872"/>
      <c r="I1875" s="871"/>
      <c r="J1875" s="871"/>
      <c r="K1875" s="870"/>
      <c r="L1875" s="870"/>
      <c r="M1875" s="870"/>
      <c r="N1875" s="870"/>
      <c r="O1875" s="870"/>
      <c r="P1875" s="870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73"/>
      <c r="E1876" s="677"/>
      <c r="F1876" s="677"/>
      <c r="G1876" s="677"/>
      <c r="H1876" s="872"/>
      <c r="I1876" s="871"/>
      <c r="J1876" s="871"/>
      <c r="K1876" s="870"/>
      <c r="L1876" s="870"/>
      <c r="M1876" s="870"/>
      <c r="N1876" s="870"/>
      <c r="O1876" s="870"/>
      <c r="P1876" s="870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73"/>
      <c r="E1877" s="677"/>
      <c r="F1877" s="677"/>
      <c r="G1877" s="677"/>
      <c r="H1877" s="872"/>
      <c r="I1877" s="871"/>
      <c r="J1877" s="871"/>
      <c r="K1877" s="870"/>
      <c r="L1877" s="870"/>
      <c r="M1877" s="870"/>
      <c r="N1877" s="870"/>
      <c r="O1877" s="870"/>
      <c r="P1877" s="870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73"/>
      <c r="E1878" s="677"/>
      <c r="F1878" s="677"/>
      <c r="G1878" s="677"/>
      <c r="H1878" s="872"/>
      <c r="I1878" s="871"/>
      <c r="J1878" s="871"/>
      <c r="K1878" s="870"/>
      <c r="L1878" s="870"/>
      <c r="M1878" s="870"/>
      <c r="N1878" s="870"/>
      <c r="O1878" s="870"/>
      <c r="P1878" s="870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73"/>
      <c r="E1879" s="677"/>
      <c r="F1879" s="677"/>
      <c r="G1879" s="677"/>
      <c r="H1879" s="872"/>
      <c r="I1879" s="871"/>
      <c r="J1879" s="871"/>
      <c r="K1879" s="870"/>
      <c r="L1879" s="870"/>
      <c r="M1879" s="870"/>
      <c r="N1879" s="870"/>
      <c r="O1879" s="870"/>
      <c r="P1879" s="870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73"/>
      <c r="E1880" s="677"/>
      <c r="F1880" s="677"/>
      <c r="G1880" s="677"/>
      <c r="H1880" s="872"/>
      <c r="I1880" s="871"/>
      <c r="J1880" s="871"/>
      <c r="K1880" s="870"/>
      <c r="L1880" s="870"/>
      <c r="M1880" s="870"/>
      <c r="N1880" s="870"/>
      <c r="O1880" s="870"/>
      <c r="P1880" s="870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73"/>
      <c r="E1881" s="677"/>
      <c r="F1881" s="677"/>
      <c r="G1881" s="677"/>
      <c r="H1881" s="872"/>
      <c r="I1881" s="871"/>
      <c r="J1881" s="871"/>
      <c r="K1881" s="870"/>
      <c r="L1881" s="870"/>
      <c r="M1881" s="870"/>
      <c r="N1881" s="870"/>
      <c r="O1881" s="870"/>
      <c r="P1881" s="870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73"/>
      <c r="E1882" s="677"/>
      <c r="F1882" s="677"/>
      <c r="G1882" s="677"/>
      <c r="H1882" s="872"/>
      <c r="I1882" s="871"/>
      <c r="J1882" s="871"/>
      <c r="K1882" s="870"/>
      <c r="L1882" s="870"/>
      <c r="M1882" s="870"/>
      <c r="N1882" s="870"/>
      <c r="O1882" s="870"/>
      <c r="P1882" s="870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73"/>
      <c r="E1883" s="677"/>
      <c r="F1883" s="677"/>
      <c r="G1883" s="677"/>
      <c r="H1883" s="872"/>
      <c r="I1883" s="871"/>
      <c r="J1883" s="871"/>
      <c r="K1883" s="870"/>
      <c r="L1883" s="870"/>
      <c r="M1883" s="870"/>
      <c r="N1883" s="870"/>
      <c r="O1883" s="870"/>
      <c r="P1883" s="870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73"/>
      <c r="E1884" s="677"/>
      <c r="F1884" s="677"/>
      <c r="G1884" s="677"/>
      <c r="H1884" s="872"/>
      <c r="I1884" s="871"/>
      <c r="J1884" s="871"/>
      <c r="K1884" s="870"/>
      <c r="L1884" s="870"/>
      <c r="M1884" s="870"/>
      <c r="N1884" s="870"/>
      <c r="O1884" s="870"/>
      <c r="P1884" s="870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73"/>
      <c r="E1885" s="677"/>
      <c r="F1885" s="677"/>
      <c r="G1885" s="677"/>
      <c r="H1885" s="872"/>
      <c r="I1885" s="871"/>
      <c r="J1885" s="871"/>
      <c r="K1885" s="870"/>
      <c r="L1885" s="870"/>
      <c r="M1885" s="870"/>
      <c r="N1885" s="870"/>
      <c r="O1885" s="870"/>
      <c r="P1885" s="870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73"/>
      <c r="E1886" s="677"/>
      <c r="F1886" s="677"/>
      <c r="G1886" s="677"/>
      <c r="H1886" s="872"/>
      <c r="I1886" s="871"/>
      <c r="J1886" s="871"/>
      <c r="K1886" s="870"/>
      <c r="L1886" s="870"/>
      <c r="M1886" s="870"/>
      <c r="N1886" s="870"/>
      <c r="O1886" s="870"/>
      <c r="P1886" s="870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73"/>
      <c r="E1887" s="677"/>
      <c r="F1887" s="677"/>
      <c r="G1887" s="677"/>
      <c r="H1887" s="872"/>
      <c r="I1887" s="871"/>
      <c r="J1887" s="871"/>
      <c r="K1887" s="870"/>
      <c r="L1887" s="870"/>
      <c r="M1887" s="870"/>
      <c r="N1887" s="870"/>
      <c r="O1887" s="870"/>
      <c r="P1887" s="870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73"/>
      <c r="E1888" s="677"/>
      <c r="F1888" s="677"/>
      <c r="G1888" s="677"/>
      <c r="H1888" s="872"/>
      <c r="I1888" s="871"/>
      <c r="J1888" s="871"/>
      <c r="K1888" s="870"/>
      <c r="L1888" s="870"/>
      <c r="M1888" s="870"/>
      <c r="N1888" s="870"/>
      <c r="O1888" s="870"/>
      <c r="P1888" s="870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73"/>
      <c r="E1889" s="677"/>
      <c r="F1889" s="677"/>
      <c r="G1889" s="677"/>
      <c r="H1889" s="872"/>
      <c r="I1889" s="871"/>
      <c r="J1889" s="871"/>
      <c r="K1889" s="870"/>
      <c r="L1889" s="870"/>
      <c r="M1889" s="870"/>
      <c r="N1889" s="870"/>
      <c r="O1889" s="870"/>
      <c r="P1889" s="870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73"/>
      <c r="E1890" s="677"/>
      <c r="F1890" s="677"/>
      <c r="G1890" s="677"/>
      <c r="H1890" s="872"/>
      <c r="I1890" s="871"/>
      <c r="J1890" s="871"/>
      <c r="K1890" s="870"/>
      <c r="L1890" s="870"/>
      <c r="M1890" s="870"/>
      <c r="N1890" s="870"/>
      <c r="O1890" s="870"/>
      <c r="P1890" s="870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73"/>
      <c r="E1891" s="677"/>
      <c r="F1891" s="677"/>
      <c r="G1891" s="677"/>
      <c r="H1891" s="872"/>
      <c r="I1891" s="871"/>
      <c r="J1891" s="871"/>
      <c r="K1891" s="870"/>
      <c r="L1891" s="870"/>
      <c r="M1891" s="870"/>
      <c r="N1891" s="870"/>
      <c r="O1891" s="870"/>
      <c r="P1891" s="870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73"/>
      <c r="E1892" s="677"/>
      <c r="F1892" s="677"/>
      <c r="G1892" s="677"/>
      <c r="H1892" s="872"/>
      <c r="I1892" s="871"/>
      <c r="J1892" s="871"/>
      <c r="K1892" s="870"/>
      <c r="L1892" s="870"/>
      <c r="M1892" s="870"/>
      <c r="N1892" s="870"/>
      <c r="O1892" s="870"/>
      <c r="P1892" s="870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73"/>
      <c r="E1893" s="677"/>
      <c r="F1893" s="677"/>
      <c r="G1893" s="677"/>
      <c r="H1893" s="872"/>
      <c r="I1893" s="871"/>
      <c r="J1893" s="871"/>
      <c r="K1893" s="870"/>
      <c r="L1893" s="870"/>
      <c r="M1893" s="870"/>
      <c r="N1893" s="870"/>
      <c r="O1893" s="870"/>
      <c r="P1893" s="870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73"/>
      <c r="E1894" s="677"/>
      <c r="F1894" s="677"/>
      <c r="G1894" s="677"/>
      <c r="H1894" s="872"/>
      <c r="I1894" s="871"/>
      <c r="J1894" s="871"/>
      <c r="K1894" s="870"/>
      <c r="L1894" s="870"/>
      <c r="M1894" s="870"/>
      <c r="N1894" s="870"/>
      <c r="O1894" s="870"/>
      <c r="P1894" s="870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73"/>
      <c r="E1895" s="677"/>
      <c r="F1895" s="677"/>
      <c r="G1895" s="677"/>
      <c r="H1895" s="872"/>
      <c r="I1895" s="871"/>
      <c r="J1895" s="871"/>
      <c r="K1895" s="870"/>
      <c r="L1895" s="870"/>
      <c r="M1895" s="870"/>
      <c r="N1895" s="870"/>
      <c r="O1895" s="870"/>
      <c r="P1895" s="870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73"/>
      <c r="E1896" s="677"/>
      <c r="F1896" s="677"/>
      <c r="G1896" s="677"/>
      <c r="H1896" s="872"/>
      <c r="I1896" s="871"/>
      <c r="J1896" s="871"/>
      <c r="K1896" s="870"/>
      <c r="L1896" s="870"/>
      <c r="M1896" s="870"/>
      <c r="N1896" s="870"/>
      <c r="O1896" s="870"/>
      <c r="P1896" s="870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73"/>
      <c r="E1897" s="677"/>
      <c r="F1897" s="677"/>
      <c r="G1897" s="677"/>
      <c r="H1897" s="872"/>
      <c r="I1897" s="871"/>
      <c r="J1897" s="871"/>
      <c r="K1897" s="870"/>
      <c r="L1897" s="870"/>
      <c r="M1897" s="870"/>
      <c r="N1897" s="870"/>
      <c r="O1897" s="870"/>
      <c r="P1897" s="870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73"/>
      <c r="E1898" s="677"/>
      <c r="F1898" s="677"/>
      <c r="G1898" s="677"/>
      <c r="H1898" s="872"/>
      <c r="I1898" s="871"/>
      <c r="J1898" s="871"/>
      <c r="K1898" s="870"/>
      <c r="L1898" s="870"/>
      <c r="M1898" s="870"/>
      <c r="N1898" s="870"/>
      <c r="O1898" s="870"/>
      <c r="P1898" s="870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73"/>
      <c r="E1899" s="677"/>
      <c r="F1899" s="677"/>
      <c r="G1899" s="677"/>
      <c r="H1899" s="872"/>
      <c r="I1899" s="871"/>
      <c r="J1899" s="871"/>
      <c r="K1899" s="870"/>
      <c r="L1899" s="870"/>
      <c r="M1899" s="870"/>
      <c r="N1899" s="870"/>
      <c r="O1899" s="870"/>
      <c r="P1899" s="870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73"/>
      <c r="E1900" s="677"/>
      <c r="F1900" s="677"/>
      <c r="G1900" s="677"/>
      <c r="H1900" s="872"/>
      <c r="I1900" s="871"/>
      <c r="J1900" s="871"/>
      <c r="K1900" s="870"/>
      <c r="L1900" s="870"/>
      <c r="M1900" s="870"/>
      <c r="N1900" s="870"/>
      <c r="O1900" s="870"/>
      <c r="P1900" s="870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73"/>
      <c r="E1901" s="677"/>
      <c r="F1901" s="677"/>
      <c r="G1901" s="677"/>
      <c r="H1901" s="872"/>
      <c r="I1901" s="871"/>
      <c r="J1901" s="871"/>
      <c r="K1901" s="870"/>
      <c r="L1901" s="870"/>
      <c r="M1901" s="870"/>
      <c r="N1901" s="870"/>
      <c r="O1901" s="870"/>
      <c r="P1901" s="870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73"/>
      <c r="E1902" s="677"/>
      <c r="F1902" s="677"/>
      <c r="G1902" s="677"/>
      <c r="H1902" s="872"/>
      <c r="I1902" s="871"/>
      <c r="J1902" s="871"/>
      <c r="K1902" s="870"/>
      <c r="L1902" s="870"/>
      <c r="M1902" s="870"/>
      <c r="N1902" s="870"/>
      <c r="O1902" s="870"/>
      <c r="P1902" s="870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73"/>
      <c r="E1903" s="677"/>
      <c r="F1903" s="677"/>
      <c r="G1903" s="677"/>
      <c r="H1903" s="872"/>
      <c r="I1903" s="871"/>
      <c r="J1903" s="871"/>
      <c r="K1903" s="870"/>
      <c r="L1903" s="870"/>
      <c r="M1903" s="870"/>
      <c r="N1903" s="870"/>
      <c r="O1903" s="870"/>
      <c r="P1903" s="870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73"/>
      <c r="E1904" s="677"/>
      <c r="F1904" s="677"/>
      <c r="G1904" s="677"/>
      <c r="H1904" s="872"/>
      <c r="I1904" s="871"/>
      <c r="J1904" s="871"/>
      <c r="K1904" s="870"/>
      <c r="L1904" s="870"/>
      <c r="M1904" s="870"/>
      <c r="N1904" s="870"/>
      <c r="O1904" s="870"/>
      <c r="P1904" s="870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73"/>
      <c r="E1905" s="677"/>
      <c r="F1905" s="677"/>
      <c r="G1905" s="677"/>
      <c r="H1905" s="872"/>
      <c r="I1905" s="871"/>
      <c r="J1905" s="871"/>
      <c r="K1905" s="870"/>
      <c r="L1905" s="870"/>
      <c r="M1905" s="870"/>
      <c r="N1905" s="870"/>
      <c r="O1905" s="870"/>
      <c r="P1905" s="870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73"/>
      <c r="E1906" s="677"/>
      <c r="F1906" s="677"/>
      <c r="G1906" s="677"/>
      <c r="H1906" s="872"/>
      <c r="I1906" s="871"/>
      <c r="J1906" s="871"/>
      <c r="K1906" s="870"/>
      <c r="L1906" s="870"/>
      <c r="M1906" s="870"/>
      <c r="N1906" s="870"/>
      <c r="O1906" s="870"/>
      <c r="P1906" s="870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73"/>
      <c r="E1907" s="677"/>
      <c r="F1907" s="677"/>
      <c r="G1907" s="677"/>
      <c r="H1907" s="872"/>
      <c r="I1907" s="871"/>
      <c r="J1907" s="871"/>
      <c r="K1907" s="870"/>
      <c r="L1907" s="870"/>
      <c r="M1907" s="870"/>
      <c r="N1907" s="870"/>
      <c r="O1907" s="870"/>
      <c r="P1907" s="870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73"/>
      <c r="E1908" s="677"/>
      <c r="F1908" s="677"/>
      <c r="G1908" s="677"/>
      <c r="H1908" s="872"/>
      <c r="I1908" s="871"/>
      <c r="J1908" s="871"/>
      <c r="K1908" s="870"/>
      <c r="L1908" s="870"/>
      <c r="M1908" s="870"/>
      <c r="N1908" s="870"/>
      <c r="O1908" s="870"/>
      <c r="P1908" s="870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73"/>
      <c r="E1909" s="677"/>
      <c r="F1909" s="677"/>
      <c r="G1909" s="677"/>
      <c r="H1909" s="872"/>
      <c r="I1909" s="871"/>
      <c r="J1909" s="871"/>
      <c r="K1909" s="870"/>
      <c r="L1909" s="870"/>
      <c r="M1909" s="870"/>
      <c r="N1909" s="870"/>
      <c r="O1909" s="870"/>
      <c r="P1909" s="870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73"/>
      <c r="E1910" s="677"/>
      <c r="F1910" s="677"/>
      <c r="G1910" s="677"/>
      <c r="H1910" s="872"/>
      <c r="I1910" s="871"/>
      <c r="J1910" s="871"/>
      <c r="K1910" s="870"/>
      <c r="L1910" s="870"/>
      <c r="M1910" s="870"/>
      <c r="N1910" s="870"/>
      <c r="O1910" s="870"/>
      <c r="P1910" s="870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73"/>
      <c r="E1911" s="677"/>
      <c r="F1911" s="677"/>
      <c r="G1911" s="677"/>
      <c r="H1911" s="872"/>
      <c r="I1911" s="871"/>
      <c r="J1911" s="871"/>
      <c r="K1911" s="870"/>
      <c r="L1911" s="870"/>
      <c r="M1911" s="870"/>
      <c r="N1911" s="870"/>
      <c r="O1911" s="870"/>
      <c r="P1911" s="870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73"/>
      <c r="E1912" s="677"/>
      <c r="F1912" s="677"/>
      <c r="G1912" s="677"/>
      <c r="H1912" s="872"/>
      <c r="I1912" s="871"/>
      <c r="J1912" s="871"/>
      <c r="K1912" s="870"/>
      <c r="L1912" s="870"/>
      <c r="M1912" s="870"/>
      <c r="N1912" s="870"/>
      <c r="O1912" s="870"/>
      <c r="P1912" s="870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73"/>
      <c r="E1913" s="677"/>
      <c r="F1913" s="677"/>
      <c r="G1913" s="677"/>
      <c r="H1913" s="872"/>
      <c r="I1913" s="871"/>
      <c r="J1913" s="871"/>
      <c r="K1913" s="870"/>
      <c r="L1913" s="870"/>
      <c r="M1913" s="870"/>
      <c r="N1913" s="870"/>
      <c r="O1913" s="870"/>
      <c r="P1913" s="870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73"/>
      <c r="E1914" s="677"/>
      <c r="F1914" s="677"/>
      <c r="G1914" s="677"/>
      <c r="H1914" s="872"/>
      <c r="I1914" s="871"/>
      <c r="J1914" s="871"/>
      <c r="K1914" s="870"/>
      <c r="L1914" s="870"/>
      <c r="M1914" s="870"/>
      <c r="N1914" s="870"/>
      <c r="O1914" s="870"/>
      <c r="P1914" s="870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73"/>
      <c r="E1915" s="677"/>
      <c r="F1915" s="677"/>
      <c r="G1915" s="677"/>
      <c r="H1915" s="872"/>
      <c r="I1915" s="871"/>
      <c r="J1915" s="871"/>
      <c r="K1915" s="870"/>
      <c r="L1915" s="870"/>
      <c r="M1915" s="870"/>
      <c r="N1915" s="870"/>
      <c r="O1915" s="870"/>
      <c r="P1915" s="870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73"/>
      <c r="E1916" s="677"/>
      <c r="F1916" s="677"/>
      <c r="G1916" s="677"/>
      <c r="H1916" s="872"/>
      <c r="I1916" s="871"/>
      <c r="J1916" s="871"/>
      <c r="K1916" s="870"/>
      <c r="L1916" s="870"/>
      <c r="M1916" s="870"/>
      <c r="N1916" s="870"/>
      <c r="O1916" s="870"/>
      <c r="P1916" s="870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73"/>
      <c r="E1917" s="677"/>
      <c r="F1917" s="677"/>
      <c r="G1917" s="677"/>
      <c r="H1917" s="872"/>
      <c r="I1917" s="871"/>
      <c r="J1917" s="871"/>
      <c r="K1917" s="870"/>
      <c r="L1917" s="870"/>
      <c r="M1917" s="870"/>
      <c r="N1917" s="870"/>
      <c r="O1917" s="870"/>
      <c r="P1917" s="870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73"/>
      <c r="E1918" s="677"/>
      <c r="F1918" s="677"/>
      <c r="G1918" s="677"/>
      <c r="H1918" s="872"/>
      <c r="I1918" s="871"/>
      <c r="J1918" s="871"/>
      <c r="K1918" s="870"/>
      <c r="L1918" s="870"/>
      <c r="M1918" s="870"/>
      <c r="N1918" s="870"/>
      <c r="O1918" s="870"/>
      <c r="P1918" s="870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73"/>
      <c r="E1919" s="677"/>
      <c r="F1919" s="677"/>
      <c r="G1919" s="677"/>
      <c r="H1919" s="872"/>
      <c r="I1919" s="871"/>
      <c r="J1919" s="871"/>
      <c r="K1919" s="870"/>
      <c r="L1919" s="870"/>
      <c r="M1919" s="870"/>
      <c r="N1919" s="870"/>
      <c r="O1919" s="870"/>
      <c r="P1919" s="870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73"/>
      <c r="E1920" s="677"/>
      <c r="F1920" s="677"/>
      <c r="G1920" s="677"/>
      <c r="H1920" s="872"/>
      <c r="I1920" s="871"/>
      <c r="J1920" s="871"/>
      <c r="K1920" s="870"/>
      <c r="L1920" s="870"/>
      <c r="M1920" s="870"/>
      <c r="N1920" s="870"/>
      <c r="O1920" s="870"/>
      <c r="P1920" s="870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73"/>
      <c r="E1921" s="677"/>
      <c r="F1921" s="677"/>
      <c r="G1921" s="677"/>
      <c r="H1921" s="872"/>
      <c r="I1921" s="871"/>
      <c r="J1921" s="871"/>
      <c r="K1921" s="870"/>
      <c r="L1921" s="870"/>
      <c r="M1921" s="870"/>
      <c r="N1921" s="870"/>
      <c r="O1921" s="870"/>
      <c r="P1921" s="870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73"/>
      <c r="E1922" s="677"/>
      <c r="F1922" s="677"/>
      <c r="G1922" s="677"/>
      <c r="H1922" s="872"/>
      <c r="I1922" s="871"/>
      <c r="J1922" s="871"/>
      <c r="K1922" s="870"/>
      <c r="L1922" s="870"/>
      <c r="M1922" s="870"/>
      <c r="N1922" s="870"/>
      <c r="O1922" s="870"/>
      <c r="P1922" s="870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73"/>
      <c r="E1923" s="677"/>
      <c r="F1923" s="677"/>
      <c r="G1923" s="677"/>
      <c r="H1923" s="872"/>
      <c r="I1923" s="871"/>
      <c r="J1923" s="871"/>
      <c r="K1923" s="870"/>
      <c r="L1923" s="870"/>
      <c r="M1923" s="870"/>
      <c r="N1923" s="870"/>
      <c r="O1923" s="870"/>
      <c r="P1923" s="870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73"/>
      <c r="E1924" s="677"/>
      <c r="F1924" s="677"/>
      <c r="G1924" s="677"/>
      <c r="H1924" s="872"/>
      <c r="I1924" s="871"/>
      <c r="J1924" s="871"/>
      <c r="K1924" s="870"/>
      <c r="L1924" s="870"/>
      <c r="M1924" s="870"/>
      <c r="N1924" s="870"/>
      <c r="O1924" s="870"/>
      <c r="P1924" s="870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73"/>
      <c r="E1925" s="677"/>
      <c r="F1925" s="677"/>
      <c r="G1925" s="677"/>
      <c r="H1925" s="872"/>
      <c r="I1925" s="871"/>
      <c r="J1925" s="871"/>
      <c r="K1925" s="870"/>
      <c r="L1925" s="870"/>
      <c r="M1925" s="870"/>
      <c r="N1925" s="870"/>
      <c r="O1925" s="870"/>
      <c r="P1925" s="870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73"/>
      <c r="E1926" s="677"/>
      <c r="F1926" s="677"/>
      <c r="G1926" s="677"/>
      <c r="H1926" s="872"/>
      <c r="I1926" s="871"/>
      <c r="J1926" s="871"/>
      <c r="K1926" s="870"/>
      <c r="L1926" s="870"/>
      <c r="M1926" s="870"/>
      <c r="N1926" s="870"/>
      <c r="O1926" s="870"/>
      <c r="P1926" s="870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73"/>
      <c r="E1927" s="677"/>
      <c r="F1927" s="677"/>
      <c r="G1927" s="677"/>
      <c r="H1927" s="872"/>
      <c r="I1927" s="871"/>
      <c r="J1927" s="871"/>
      <c r="K1927" s="870"/>
      <c r="L1927" s="870"/>
      <c r="M1927" s="870"/>
      <c r="N1927" s="870"/>
      <c r="O1927" s="870"/>
      <c r="P1927" s="870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73"/>
      <c r="E1928" s="677"/>
      <c r="F1928" s="677"/>
      <c r="G1928" s="677"/>
      <c r="H1928" s="872"/>
      <c r="I1928" s="871"/>
      <c r="J1928" s="871"/>
      <c r="K1928" s="870"/>
      <c r="L1928" s="870"/>
      <c r="M1928" s="870"/>
      <c r="N1928" s="870"/>
      <c r="O1928" s="870"/>
      <c r="P1928" s="870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73"/>
      <c r="E1929" s="677"/>
      <c r="F1929" s="677"/>
      <c r="G1929" s="677"/>
      <c r="H1929" s="872"/>
      <c r="I1929" s="871"/>
      <c r="J1929" s="871"/>
      <c r="K1929" s="870"/>
      <c r="L1929" s="870"/>
      <c r="M1929" s="870"/>
      <c r="N1929" s="870"/>
      <c r="O1929" s="870"/>
      <c r="P1929" s="870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73"/>
      <c r="E1930" s="677"/>
      <c r="F1930" s="677"/>
      <c r="G1930" s="677"/>
      <c r="H1930" s="872"/>
      <c r="I1930" s="871"/>
      <c r="J1930" s="871"/>
      <c r="K1930" s="870"/>
      <c r="L1930" s="870"/>
      <c r="M1930" s="870"/>
      <c r="N1930" s="870"/>
      <c r="O1930" s="870"/>
      <c r="P1930" s="870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73"/>
      <c r="E1931" s="677"/>
      <c r="F1931" s="677"/>
      <c r="G1931" s="677"/>
      <c r="H1931" s="872"/>
      <c r="I1931" s="871"/>
      <c r="J1931" s="871"/>
      <c r="K1931" s="870"/>
      <c r="L1931" s="870"/>
      <c r="M1931" s="870"/>
      <c r="N1931" s="870"/>
      <c r="O1931" s="870"/>
      <c r="P1931" s="870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73"/>
      <c r="E1932" s="677"/>
      <c r="F1932" s="677"/>
      <c r="G1932" s="677"/>
      <c r="H1932" s="872"/>
      <c r="I1932" s="871"/>
      <c r="J1932" s="871"/>
      <c r="K1932" s="870"/>
      <c r="L1932" s="870"/>
      <c r="M1932" s="870"/>
      <c r="N1932" s="870"/>
      <c r="O1932" s="870"/>
      <c r="P1932" s="870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73"/>
      <c r="E1933" s="677"/>
      <c r="F1933" s="677"/>
      <c r="G1933" s="677"/>
      <c r="H1933" s="872"/>
      <c r="I1933" s="871"/>
      <c r="J1933" s="871"/>
      <c r="K1933" s="870"/>
      <c r="L1933" s="870"/>
      <c r="M1933" s="870"/>
      <c r="N1933" s="870"/>
      <c r="O1933" s="870"/>
      <c r="P1933" s="870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73"/>
      <c r="E1934" s="677"/>
      <c r="F1934" s="677"/>
      <c r="G1934" s="677"/>
      <c r="H1934" s="872"/>
      <c r="I1934" s="871"/>
      <c r="J1934" s="871"/>
      <c r="K1934" s="870"/>
      <c r="L1934" s="870"/>
      <c r="M1934" s="870"/>
      <c r="N1934" s="870"/>
      <c r="O1934" s="870"/>
      <c r="P1934" s="870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73"/>
      <c r="E1935" s="677"/>
      <c r="F1935" s="677"/>
      <c r="G1935" s="677"/>
      <c r="H1935" s="872"/>
      <c r="I1935" s="871"/>
      <c r="J1935" s="871"/>
      <c r="K1935" s="870"/>
      <c r="L1935" s="870"/>
      <c r="M1935" s="870"/>
      <c r="N1935" s="870"/>
      <c r="O1935" s="870"/>
      <c r="P1935" s="870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73"/>
      <c r="E1936" s="677"/>
      <c r="F1936" s="677"/>
      <c r="G1936" s="677"/>
      <c r="H1936" s="872"/>
      <c r="I1936" s="871"/>
      <c r="J1936" s="871"/>
      <c r="K1936" s="870"/>
      <c r="L1936" s="870"/>
      <c r="M1936" s="870"/>
      <c r="N1936" s="870"/>
      <c r="O1936" s="870"/>
      <c r="P1936" s="870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73"/>
      <c r="E1937" s="677"/>
      <c r="F1937" s="677"/>
      <c r="G1937" s="677"/>
      <c r="H1937" s="872"/>
      <c r="I1937" s="871"/>
      <c r="J1937" s="871"/>
      <c r="K1937" s="870"/>
      <c r="L1937" s="870"/>
      <c r="M1937" s="870"/>
      <c r="N1937" s="870"/>
      <c r="O1937" s="870"/>
      <c r="P1937" s="870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73"/>
      <c r="E1938" s="677"/>
      <c r="F1938" s="677"/>
      <c r="G1938" s="677"/>
      <c r="H1938" s="872"/>
      <c r="I1938" s="871"/>
      <c r="J1938" s="871"/>
      <c r="K1938" s="870"/>
      <c r="L1938" s="870"/>
      <c r="M1938" s="870"/>
      <c r="N1938" s="870"/>
      <c r="O1938" s="870"/>
      <c r="P1938" s="870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73"/>
      <c r="E1939" s="677"/>
      <c r="F1939" s="677"/>
      <c r="G1939" s="677"/>
      <c r="H1939" s="872"/>
      <c r="I1939" s="871"/>
      <c r="J1939" s="871"/>
      <c r="K1939" s="870"/>
      <c r="L1939" s="870"/>
      <c r="M1939" s="870"/>
      <c r="N1939" s="870"/>
      <c r="O1939" s="870"/>
      <c r="P1939" s="870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73"/>
      <c r="E1940" s="677"/>
      <c r="F1940" s="677"/>
      <c r="G1940" s="677"/>
      <c r="H1940" s="872"/>
      <c r="I1940" s="871"/>
      <c r="J1940" s="871"/>
      <c r="K1940" s="870"/>
      <c r="L1940" s="870"/>
      <c r="M1940" s="870"/>
      <c r="N1940" s="870"/>
      <c r="O1940" s="870"/>
      <c r="P1940" s="870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73"/>
      <c r="E1941" s="677"/>
      <c r="F1941" s="677"/>
      <c r="G1941" s="677"/>
      <c r="H1941" s="872"/>
      <c r="I1941" s="871"/>
      <c r="J1941" s="871"/>
      <c r="K1941" s="870"/>
      <c r="L1941" s="870"/>
      <c r="M1941" s="870"/>
      <c r="N1941" s="870"/>
      <c r="O1941" s="870"/>
      <c r="P1941" s="870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73"/>
      <c r="E1942" s="677"/>
      <c r="F1942" s="677"/>
      <c r="G1942" s="677"/>
      <c r="H1942" s="872"/>
      <c r="I1942" s="871"/>
      <c r="J1942" s="871"/>
      <c r="K1942" s="870"/>
      <c r="L1942" s="870"/>
      <c r="M1942" s="870"/>
      <c r="N1942" s="870"/>
      <c r="O1942" s="870"/>
      <c r="P1942" s="870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73"/>
      <c r="E1943" s="677"/>
      <c r="F1943" s="677"/>
      <c r="G1943" s="677"/>
      <c r="H1943" s="872"/>
      <c r="I1943" s="871"/>
      <c r="J1943" s="871"/>
      <c r="K1943" s="870"/>
      <c r="L1943" s="870"/>
      <c r="M1943" s="870"/>
      <c r="N1943" s="870"/>
      <c r="O1943" s="870"/>
      <c r="P1943" s="870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73"/>
      <c r="E1944" s="677"/>
      <c r="F1944" s="677"/>
      <c r="G1944" s="677"/>
      <c r="H1944" s="872"/>
      <c r="I1944" s="871"/>
      <c r="J1944" s="871"/>
      <c r="K1944" s="870"/>
      <c r="L1944" s="870"/>
      <c r="M1944" s="870"/>
      <c r="N1944" s="870"/>
      <c r="O1944" s="870"/>
      <c r="P1944" s="870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73"/>
      <c r="E1945" s="677"/>
      <c r="F1945" s="677"/>
      <c r="G1945" s="677"/>
      <c r="H1945" s="872"/>
      <c r="I1945" s="871"/>
      <c r="J1945" s="871"/>
      <c r="K1945" s="870"/>
      <c r="L1945" s="870"/>
      <c r="M1945" s="870"/>
      <c r="N1945" s="870"/>
      <c r="O1945" s="870"/>
      <c r="P1945" s="870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73"/>
      <c r="E1946" s="677"/>
      <c r="F1946" s="677"/>
      <c r="G1946" s="677"/>
      <c r="H1946" s="872"/>
      <c r="I1946" s="871"/>
      <c r="J1946" s="871"/>
      <c r="K1946" s="870"/>
      <c r="L1946" s="870"/>
      <c r="M1946" s="870"/>
      <c r="N1946" s="870"/>
      <c r="O1946" s="870"/>
      <c r="P1946" s="870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73"/>
      <c r="E1947" s="677"/>
      <c r="F1947" s="677"/>
      <c r="G1947" s="677"/>
      <c r="H1947" s="872"/>
      <c r="I1947" s="871"/>
      <c r="J1947" s="871"/>
      <c r="K1947" s="870"/>
      <c r="L1947" s="870"/>
      <c r="M1947" s="870"/>
      <c r="N1947" s="870"/>
      <c r="O1947" s="870"/>
      <c r="P1947" s="870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73"/>
      <c r="E1948" s="677"/>
      <c r="F1948" s="677"/>
      <c r="G1948" s="677"/>
      <c r="H1948" s="872"/>
      <c r="I1948" s="871"/>
      <c r="J1948" s="871"/>
      <c r="K1948" s="870"/>
      <c r="L1948" s="870"/>
      <c r="M1948" s="870"/>
      <c r="N1948" s="870"/>
      <c r="O1948" s="870"/>
      <c r="P1948" s="870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73"/>
      <c r="E1949" s="677"/>
      <c r="F1949" s="677"/>
      <c r="G1949" s="677"/>
      <c r="H1949" s="872"/>
      <c r="I1949" s="871"/>
      <c r="J1949" s="871"/>
      <c r="K1949" s="870"/>
      <c r="L1949" s="870"/>
      <c r="M1949" s="870"/>
      <c r="N1949" s="870"/>
      <c r="O1949" s="870"/>
      <c r="P1949" s="870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73"/>
      <c r="E1950" s="677"/>
      <c r="F1950" s="677"/>
      <c r="G1950" s="677"/>
      <c r="H1950" s="872"/>
      <c r="I1950" s="871"/>
      <c r="J1950" s="871"/>
      <c r="K1950" s="870"/>
      <c r="L1950" s="870"/>
      <c r="M1950" s="870"/>
      <c r="N1950" s="870"/>
      <c r="O1950" s="870"/>
      <c r="P1950" s="870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73"/>
      <c r="E1951" s="677"/>
      <c r="F1951" s="677"/>
      <c r="G1951" s="677"/>
      <c r="H1951" s="872"/>
      <c r="I1951" s="871"/>
      <c r="J1951" s="871"/>
      <c r="K1951" s="870"/>
      <c r="L1951" s="870"/>
      <c r="M1951" s="870"/>
      <c r="N1951" s="870"/>
      <c r="O1951" s="870"/>
      <c r="P1951" s="870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73"/>
      <c r="E1952" s="677"/>
      <c r="F1952" s="677"/>
      <c r="G1952" s="677"/>
      <c r="H1952" s="872"/>
      <c r="I1952" s="871"/>
      <c r="J1952" s="871"/>
      <c r="K1952" s="870"/>
      <c r="L1952" s="870"/>
      <c r="M1952" s="870"/>
      <c r="N1952" s="870"/>
      <c r="O1952" s="870"/>
      <c r="P1952" s="870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73"/>
      <c r="E1953" s="677"/>
      <c r="F1953" s="677"/>
      <c r="G1953" s="677"/>
      <c r="H1953" s="872"/>
      <c r="I1953" s="871"/>
      <c r="J1953" s="871"/>
      <c r="K1953" s="870"/>
      <c r="L1953" s="870"/>
      <c r="M1953" s="870"/>
      <c r="N1953" s="870"/>
      <c r="O1953" s="870"/>
      <c r="P1953" s="870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73"/>
      <c r="E1954" s="677"/>
      <c r="F1954" s="677"/>
      <c r="G1954" s="677"/>
      <c r="H1954" s="872"/>
      <c r="I1954" s="871"/>
      <c r="J1954" s="871"/>
      <c r="K1954" s="870"/>
      <c r="L1954" s="870"/>
      <c r="M1954" s="870"/>
      <c r="N1954" s="870"/>
      <c r="O1954" s="870"/>
      <c r="P1954" s="870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73"/>
      <c r="E1955" s="677"/>
      <c r="F1955" s="677"/>
      <c r="G1955" s="677"/>
      <c r="H1955" s="872"/>
      <c r="I1955" s="871"/>
      <c r="J1955" s="871"/>
      <c r="K1955" s="870"/>
      <c r="L1955" s="870"/>
      <c r="M1955" s="870"/>
      <c r="N1955" s="870"/>
      <c r="O1955" s="870"/>
      <c r="P1955" s="870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73"/>
      <c r="E1956" s="677"/>
      <c r="F1956" s="677"/>
      <c r="G1956" s="677"/>
      <c r="H1956" s="872"/>
      <c r="I1956" s="871"/>
      <c r="J1956" s="871"/>
      <c r="K1956" s="870"/>
      <c r="L1956" s="870"/>
      <c r="M1956" s="870"/>
      <c r="N1956" s="870"/>
      <c r="O1956" s="870"/>
      <c r="P1956" s="870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73"/>
      <c r="E1957" s="677"/>
      <c r="F1957" s="677"/>
      <c r="G1957" s="677"/>
      <c r="H1957" s="872"/>
      <c r="I1957" s="871"/>
      <c r="J1957" s="871"/>
      <c r="K1957" s="870"/>
      <c r="L1957" s="870"/>
      <c r="M1957" s="870"/>
      <c r="N1957" s="870"/>
      <c r="O1957" s="870"/>
      <c r="P1957" s="870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73"/>
      <c r="E1958" s="677"/>
      <c r="F1958" s="677"/>
      <c r="G1958" s="677"/>
      <c r="H1958" s="872"/>
      <c r="I1958" s="871"/>
      <c r="J1958" s="871"/>
      <c r="K1958" s="870"/>
      <c r="L1958" s="870"/>
      <c r="M1958" s="870"/>
      <c r="N1958" s="870"/>
      <c r="O1958" s="870"/>
      <c r="P1958" s="870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73"/>
      <c r="E1959" s="677"/>
      <c r="F1959" s="677"/>
      <c r="G1959" s="677"/>
      <c r="H1959" s="872"/>
      <c r="I1959" s="871"/>
      <c r="J1959" s="871"/>
      <c r="K1959" s="870"/>
      <c r="L1959" s="870"/>
      <c r="M1959" s="870"/>
      <c r="N1959" s="870"/>
      <c r="O1959" s="870"/>
      <c r="P1959" s="870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73"/>
      <c r="E1960" s="677"/>
      <c r="F1960" s="677"/>
      <c r="G1960" s="677"/>
      <c r="H1960" s="872"/>
      <c r="I1960" s="871"/>
      <c r="J1960" s="871"/>
      <c r="K1960" s="870"/>
      <c r="L1960" s="870"/>
      <c r="M1960" s="870"/>
      <c r="N1960" s="870"/>
      <c r="O1960" s="870"/>
      <c r="P1960" s="870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73"/>
      <c r="E1961" s="677"/>
      <c r="F1961" s="677"/>
      <c r="G1961" s="677"/>
      <c r="H1961" s="872"/>
      <c r="I1961" s="871"/>
      <c r="J1961" s="871"/>
      <c r="K1961" s="870"/>
      <c r="L1961" s="870"/>
      <c r="M1961" s="870"/>
      <c r="N1961" s="870"/>
      <c r="O1961" s="870"/>
      <c r="P1961" s="870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73"/>
      <c r="E1962" s="677"/>
      <c r="F1962" s="677"/>
      <c r="G1962" s="677"/>
      <c r="H1962" s="872"/>
      <c r="I1962" s="871"/>
      <c r="J1962" s="871"/>
      <c r="K1962" s="870"/>
      <c r="L1962" s="870"/>
      <c r="M1962" s="870"/>
      <c r="N1962" s="870"/>
      <c r="O1962" s="870"/>
      <c r="P1962" s="870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73"/>
      <c r="E1963" s="677"/>
      <c r="F1963" s="677"/>
      <c r="G1963" s="677"/>
      <c r="H1963" s="872"/>
      <c r="I1963" s="871"/>
      <c r="J1963" s="871"/>
      <c r="K1963" s="870"/>
      <c r="L1963" s="870"/>
      <c r="M1963" s="870"/>
      <c r="N1963" s="870"/>
      <c r="O1963" s="870"/>
      <c r="P1963" s="870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73"/>
      <c r="E1964" s="677"/>
      <c r="F1964" s="677"/>
      <c r="G1964" s="677"/>
      <c r="H1964" s="872"/>
      <c r="I1964" s="871"/>
      <c r="J1964" s="871"/>
      <c r="K1964" s="870"/>
      <c r="L1964" s="870"/>
      <c r="M1964" s="870"/>
      <c r="N1964" s="870"/>
      <c r="O1964" s="870"/>
      <c r="P1964" s="870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73"/>
      <c r="E1965" s="677"/>
      <c r="F1965" s="677"/>
      <c r="G1965" s="677"/>
      <c r="H1965" s="872"/>
      <c r="I1965" s="871"/>
      <c r="J1965" s="871"/>
      <c r="K1965" s="870"/>
      <c r="L1965" s="870"/>
      <c r="M1965" s="870"/>
      <c r="N1965" s="870"/>
      <c r="O1965" s="870"/>
      <c r="P1965" s="870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73"/>
      <c r="E1966" s="677"/>
      <c r="F1966" s="677"/>
      <c r="G1966" s="677"/>
      <c r="H1966" s="872"/>
      <c r="I1966" s="871"/>
      <c r="J1966" s="871"/>
      <c r="K1966" s="870"/>
      <c r="L1966" s="870"/>
      <c r="M1966" s="870"/>
      <c r="N1966" s="870"/>
      <c r="O1966" s="870"/>
      <c r="P1966" s="870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73"/>
      <c r="E1967" s="677"/>
      <c r="F1967" s="677"/>
      <c r="G1967" s="677"/>
      <c r="H1967" s="872"/>
      <c r="I1967" s="871"/>
      <c r="J1967" s="871"/>
      <c r="K1967" s="870"/>
      <c r="L1967" s="870"/>
      <c r="M1967" s="870"/>
      <c r="N1967" s="870"/>
      <c r="O1967" s="870"/>
      <c r="P1967" s="870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73"/>
      <c r="E1968" s="677"/>
      <c r="F1968" s="677"/>
      <c r="G1968" s="677"/>
      <c r="H1968" s="872"/>
      <c r="I1968" s="871"/>
      <c r="J1968" s="871"/>
      <c r="K1968" s="870"/>
      <c r="L1968" s="870"/>
      <c r="M1968" s="870"/>
      <c r="N1968" s="870"/>
      <c r="O1968" s="870"/>
      <c r="P1968" s="870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73"/>
      <c r="E1969" s="677"/>
      <c r="F1969" s="677"/>
      <c r="G1969" s="677"/>
      <c r="H1969" s="872"/>
      <c r="I1969" s="871"/>
      <c r="J1969" s="871"/>
      <c r="K1969" s="870"/>
      <c r="L1969" s="870"/>
      <c r="M1969" s="870"/>
      <c r="N1969" s="870"/>
      <c r="O1969" s="870"/>
      <c r="P1969" s="870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73"/>
      <c r="E1970" s="677"/>
      <c r="F1970" s="677"/>
      <c r="G1970" s="677"/>
      <c r="H1970" s="872"/>
      <c r="I1970" s="871"/>
      <c r="J1970" s="871"/>
      <c r="K1970" s="870"/>
      <c r="L1970" s="870"/>
      <c r="M1970" s="870"/>
      <c r="N1970" s="870"/>
      <c r="O1970" s="870"/>
      <c r="P1970" s="870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73"/>
      <c r="E1971" s="677"/>
      <c r="F1971" s="677"/>
      <c r="G1971" s="677"/>
      <c r="H1971" s="872"/>
      <c r="I1971" s="871"/>
      <c r="J1971" s="871"/>
      <c r="K1971" s="870"/>
      <c r="L1971" s="870"/>
      <c r="M1971" s="870"/>
      <c r="N1971" s="870"/>
      <c r="O1971" s="870"/>
      <c r="P1971" s="870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73"/>
      <c r="E1972" s="677"/>
      <c r="F1972" s="677"/>
      <c r="G1972" s="677"/>
      <c r="H1972" s="872"/>
      <c r="I1972" s="871"/>
      <c r="J1972" s="871"/>
      <c r="K1972" s="870"/>
      <c r="L1972" s="870"/>
      <c r="M1972" s="870"/>
      <c r="N1972" s="870"/>
      <c r="O1972" s="870"/>
      <c r="P1972" s="870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73"/>
      <c r="E1973" s="677"/>
      <c r="F1973" s="677"/>
      <c r="G1973" s="677"/>
      <c r="H1973" s="872"/>
      <c r="I1973" s="871"/>
      <c r="J1973" s="871"/>
      <c r="K1973" s="870"/>
      <c r="L1973" s="870"/>
      <c r="M1973" s="870"/>
      <c r="N1973" s="870"/>
      <c r="O1973" s="870"/>
      <c r="P1973" s="870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73"/>
      <c r="E1974" s="677"/>
      <c r="F1974" s="677"/>
      <c r="G1974" s="677"/>
      <c r="H1974" s="872"/>
      <c r="I1974" s="871"/>
      <c r="J1974" s="871"/>
      <c r="K1974" s="870"/>
      <c r="L1974" s="870"/>
      <c r="M1974" s="870"/>
      <c r="N1974" s="870"/>
      <c r="O1974" s="870"/>
      <c r="P1974" s="870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73"/>
      <c r="E1975" s="677"/>
      <c r="F1975" s="677"/>
      <c r="G1975" s="677"/>
      <c r="H1975" s="872"/>
      <c r="I1975" s="871"/>
      <c r="J1975" s="871"/>
      <c r="K1975" s="870"/>
      <c r="L1975" s="870"/>
      <c r="M1975" s="870"/>
      <c r="N1975" s="870"/>
      <c r="O1975" s="870"/>
      <c r="P1975" s="870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73"/>
      <c r="E1976" s="677"/>
      <c r="F1976" s="677"/>
      <c r="G1976" s="677"/>
      <c r="H1976" s="872"/>
      <c r="I1976" s="871"/>
      <c r="J1976" s="871"/>
      <c r="K1976" s="870"/>
      <c r="L1976" s="870"/>
      <c r="M1976" s="870"/>
      <c r="N1976" s="870"/>
      <c r="O1976" s="870"/>
      <c r="P1976" s="870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73"/>
      <c r="E1977" s="677"/>
      <c r="F1977" s="677"/>
      <c r="G1977" s="677"/>
      <c r="H1977" s="872"/>
      <c r="I1977" s="871"/>
      <c r="J1977" s="871"/>
      <c r="K1977" s="870"/>
      <c r="L1977" s="870"/>
      <c r="M1977" s="870"/>
      <c r="N1977" s="870"/>
      <c r="O1977" s="870"/>
      <c r="P1977" s="870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73"/>
      <c r="E1978" s="677"/>
      <c r="F1978" s="677"/>
      <c r="G1978" s="677"/>
      <c r="H1978" s="872"/>
      <c r="I1978" s="871"/>
      <c r="J1978" s="871"/>
      <c r="K1978" s="870"/>
      <c r="L1978" s="870"/>
      <c r="M1978" s="870"/>
      <c r="N1978" s="870"/>
      <c r="O1978" s="870"/>
      <c r="P1978" s="870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73"/>
      <c r="E1979" s="677"/>
      <c r="F1979" s="677"/>
      <c r="G1979" s="677"/>
      <c r="H1979" s="872"/>
      <c r="I1979" s="871"/>
      <c r="J1979" s="871"/>
      <c r="K1979" s="870"/>
      <c r="L1979" s="870"/>
      <c r="M1979" s="870"/>
      <c r="N1979" s="870"/>
      <c r="O1979" s="870"/>
      <c r="P1979" s="870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73"/>
      <c r="E1980" s="677"/>
      <c r="F1980" s="677"/>
      <c r="G1980" s="677"/>
      <c r="H1980" s="872"/>
      <c r="I1980" s="871"/>
      <c r="J1980" s="871"/>
      <c r="K1980" s="870"/>
      <c r="L1980" s="870"/>
      <c r="M1980" s="870"/>
      <c r="N1980" s="870"/>
      <c r="O1980" s="870"/>
      <c r="P1980" s="870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73"/>
      <c r="E1981" s="677"/>
      <c r="F1981" s="677"/>
      <c r="G1981" s="677"/>
      <c r="H1981" s="872"/>
      <c r="I1981" s="871"/>
      <c r="J1981" s="871"/>
      <c r="K1981" s="870"/>
      <c r="L1981" s="870"/>
      <c r="M1981" s="870"/>
      <c r="N1981" s="870"/>
      <c r="O1981" s="870"/>
      <c r="P1981" s="870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73"/>
      <c r="E1982" s="677"/>
      <c r="F1982" s="677"/>
      <c r="G1982" s="677"/>
      <c r="H1982" s="872"/>
      <c r="I1982" s="871"/>
      <c r="J1982" s="871"/>
      <c r="K1982" s="870"/>
      <c r="L1982" s="870"/>
      <c r="M1982" s="870"/>
      <c r="N1982" s="870"/>
      <c r="O1982" s="870"/>
      <c r="P1982" s="870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73"/>
      <c r="E1983" s="677"/>
      <c r="F1983" s="677"/>
      <c r="G1983" s="677"/>
      <c r="H1983" s="872"/>
      <c r="I1983" s="871"/>
      <c r="J1983" s="871"/>
      <c r="K1983" s="870"/>
      <c r="L1983" s="870"/>
      <c r="M1983" s="870"/>
      <c r="N1983" s="870"/>
      <c r="O1983" s="870"/>
      <c r="P1983" s="870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73"/>
      <c r="E1984" s="677"/>
      <c r="F1984" s="677"/>
      <c r="G1984" s="677"/>
      <c r="H1984" s="872"/>
      <c r="I1984" s="871"/>
      <c r="J1984" s="871"/>
      <c r="K1984" s="870"/>
      <c r="L1984" s="870"/>
      <c r="M1984" s="870"/>
      <c r="N1984" s="870"/>
      <c r="O1984" s="870"/>
      <c r="P1984" s="870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73"/>
      <c r="E1985" s="677"/>
      <c r="F1985" s="677"/>
      <c r="G1985" s="677"/>
      <c r="H1985" s="872"/>
      <c r="I1985" s="871"/>
      <c r="J1985" s="871"/>
      <c r="K1985" s="870"/>
      <c r="L1985" s="870"/>
      <c r="M1985" s="870"/>
      <c r="N1985" s="870"/>
      <c r="O1985" s="870"/>
      <c r="P1985" s="870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73"/>
      <c r="E1986" s="677"/>
      <c r="F1986" s="677"/>
      <c r="G1986" s="677"/>
      <c r="H1986" s="872"/>
      <c r="I1986" s="871"/>
      <c r="J1986" s="871"/>
      <c r="K1986" s="870"/>
      <c r="L1986" s="870"/>
      <c r="M1986" s="870"/>
      <c r="N1986" s="870"/>
      <c r="O1986" s="870"/>
      <c r="P1986" s="870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73"/>
      <c r="E1987" s="677"/>
      <c r="F1987" s="677"/>
      <c r="G1987" s="677"/>
      <c r="H1987" s="872"/>
      <c r="I1987" s="871"/>
      <c r="J1987" s="871"/>
      <c r="K1987" s="870"/>
      <c r="L1987" s="870"/>
      <c r="M1987" s="870"/>
      <c r="N1987" s="870"/>
      <c r="O1987" s="870"/>
      <c r="P1987" s="870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73"/>
      <c r="E1988" s="677"/>
      <c r="F1988" s="677"/>
      <c r="G1988" s="677"/>
      <c r="H1988" s="872"/>
      <c r="I1988" s="871"/>
      <c r="J1988" s="871"/>
      <c r="K1988" s="870"/>
      <c r="L1988" s="870"/>
      <c r="M1988" s="870"/>
      <c r="N1988" s="870"/>
      <c r="O1988" s="870"/>
      <c r="P1988" s="870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73"/>
      <c r="E1989" s="677"/>
      <c r="F1989" s="677"/>
      <c r="G1989" s="677"/>
      <c r="H1989" s="872"/>
      <c r="I1989" s="871"/>
      <c r="J1989" s="871"/>
      <c r="K1989" s="870"/>
      <c r="L1989" s="870"/>
      <c r="M1989" s="870"/>
      <c r="N1989" s="870"/>
      <c r="O1989" s="870"/>
      <c r="P1989" s="870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73"/>
      <c r="E1990" s="677"/>
      <c r="F1990" s="677"/>
      <c r="G1990" s="677"/>
      <c r="H1990" s="872"/>
      <c r="I1990" s="871"/>
      <c r="J1990" s="871"/>
      <c r="K1990" s="870"/>
      <c r="L1990" s="870"/>
      <c r="M1990" s="870"/>
      <c r="N1990" s="870"/>
      <c r="O1990" s="870"/>
      <c r="P1990" s="870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73"/>
      <c r="E1991" s="677"/>
      <c r="F1991" s="677"/>
      <c r="G1991" s="677"/>
      <c r="H1991" s="872"/>
      <c r="I1991" s="871"/>
      <c r="J1991" s="871"/>
      <c r="K1991" s="870"/>
      <c r="L1991" s="870"/>
      <c r="M1991" s="870"/>
      <c r="N1991" s="870"/>
      <c r="O1991" s="870"/>
      <c r="P1991" s="870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73"/>
      <c r="E1992" s="677"/>
      <c r="F1992" s="677"/>
      <c r="G1992" s="677"/>
      <c r="H1992" s="872"/>
      <c r="I1992" s="871"/>
      <c r="J1992" s="871"/>
      <c r="K1992" s="870"/>
      <c r="L1992" s="870"/>
      <c r="M1992" s="870"/>
      <c r="N1992" s="870"/>
      <c r="O1992" s="870"/>
      <c r="P1992" s="870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73"/>
      <c r="E1993" s="677"/>
      <c r="F1993" s="677"/>
      <c r="G1993" s="677"/>
      <c r="H1993" s="872"/>
      <c r="I1993" s="871"/>
      <c r="J1993" s="871"/>
      <c r="K1993" s="870"/>
      <c r="L1993" s="870"/>
      <c r="M1993" s="870"/>
      <c r="N1993" s="870"/>
      <c r="O1993" s="870"/>
      <c r="P1993" s="870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73"/>
      <c r="E1994" s="677"/>
      <c r="F1994" s="677"/>
      <c r="G1994" s="677"/>
      <c r="H1994" s="872"/>
      <c r="I1994" s="871"/>
      <c r="J1994" s="871"/>
      <c r="K1994" s="870"/>
      <c r="L1994" s="870"/>
      <c r="M1994" s="870"/>
      <c r="N1994" s="870"/>
      <c r="O1994" s="870"/>
      <c r="P1994" s="870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73"/>
      <c r="E1995" s="677"/>
      <c r="F1995" s="677"/>
      <c r="G1995" s="677"/>
      <c r="H1995" s="872"/>
      <c r="I1995" s="871"/>
      <c r="J1995" s="871"/>
      <c r="K1995" s="870"/>
      <c r="L1995" s="870"/>
      <c r="M1995" s="870"/>
      <c r="N1995" s="870"/>
      <c r="O1995" s="870"/>
      <c r="P1995" s="870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73"/>
      <c r="E1996" s="677"/>
      <c r="F1996" s="677"/>
      <c r="G1996" s="677"/>
      <c r="H1996" s="872"/>
      <c r="I1996" s="871"/>
      <c r="J1996" s="871"/>
      <c r="K1996" s="870"/>
      <c r="L1996" s="870"/>
      <c r="M1996" s="870"/>
      <c r="N1996" s="870"/>
      <c r="O1996" s="870"/>
      <c r="P1996" s="870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73"/>
      <c r="E1997" s="677"/>
      <c r="F1997" s="677"/>
      <c r="G1997" s="677"/>
      <c r="H1997" s="872"/>
      <c r="I1997" s="871"/>
      <c r="J1997" s="871"/>
      <c r="K1997" s="870"/>
      <c r="L1997" s="870"/>
      <c r="M1997" s="870"/>
      <c r="N1997" s="870"/>
      <c r="O1997" s="870"/>
      <c r="P1997" s="870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73"/>
      <c r="E1998" s="677"/>
      <c r="F1998" s="677"/>
      <c r="G1998" s="677"/>
      <c r="H1998" s="872"/>
      <c r="I1998" s="871"/>
      <c r="J1998" s="871"/>
      <c r="K1998" s="870"/>
      <c r="L1998" s="870"/>
      <c r="M1998" s="870"/>
      <c r="N1998" s="870"/>
      <c r="O1998" s="870"/>
      <c r="P1998" s="870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73"/>
      <c r="E1999" s="677"/>
      <c r="F1999" s="677"/>
      <c r="G1999" s="677"/>
      <c r="H1999" s="872"/>
      <c r="I1999" s="871"/>
      <c r="J1999" s="871"/>
      <c r="K1999" s="870"/>
      <c r="L1999" s="870"/>
      <c r="M1999" s="870"/>
      <c r="N1999" s="870"/>
      <c r="O1999" s="870"/>
      <c r="P1999" s="870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73"/>
      <c r="E2000" s="677"/>
      <c r="F2000" s="677"/>
      <c r="G2000" s="677"/>
      <c r="H2000" s="872"/>
      <c r="I2000" s="871"/>
      <c r="J2000" s="871"/>
      <c r="K2000" s="870"/>
      <c r="L2000" s="870"/>
      <c r="M2000" s="870"/>
      <c r="N2000" s="870"/>
      <c r="O2000" s="870"/>
      <c r="P2000" s="870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73"/>
      <c r="E2001" s="677"/>
      <c r="F2001" s="677"/>
      <c r="G2001" s="677"/>
      <c r="H2001" s="872"/>
      <c r="I2001" s="871"/>
      <c r="J2001" s="871"/>
      <c r="K2001" s="870"/>
      <c r="L2001" s="870"/>
      <c r="M2001" s="870"/>
      <c r="N2001" s="870"/>
      <c r="O2001" s="870"/>
      <c r="P2001" s="870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73"/>
      <c r="E2002" s="677"/>
      <c r="F2002" s="677"/>
      <c r="G2002" s="677"/>
      <c r="H2002" s="872"/>
      <c r="I2002" s="871"/>
      <c r="J2002" s="871"/>
      <c r="K2002" s="870"/>
      <c r="L2002" s="870"/>
      <c r="M2002" s="870"/>
      <c r="N2002" s="870"/>
      <c r="O2002" s="870"/>
      <c r="P2002" s="870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73"/>
      <c r="E2003" s="677"/>
      <c r="F2003" s="677"/>
      <c r="G2003" s="677"/>
      <c r="H2003" s="872"/>
      <c r="I2003" s="871"/>
      <c r="J2003" s="871"/>
      <c r="K2003" s="870"/>
      <c r="L2003" s="870"/>
      <c r="M2003" s="870"/>
      <c r="N2003" s="870"/>
      <c r="O2003" s="870"/>
      <c r="P2003" s="870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73"/>
      <c r="E2004" s="677"/>
      <c r="F2004" s="677"/>
      <c r="G2004" s="677"/>
      <c r="H2004" s="872"/>
      <c r="I2004" s="871"/>
      <c r="J2004" s="871"/>
      <c r="K2004" s="870"/>
      <c r="L2004" s="870"/>
      <c r="M2004" s="870"/>
      <c r="N2004" s="870"/>
      <c r="O2004" s="870"/>
      <c r="P2004" s="870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73"/>
      <c r="E2005" s="677"/>
      <c r="F2005" s="677"/>
      <c r="G2005" s="677"/>
      <c r="H2005" s="872"/>
      <c r="I2005" s="871"/>
      <c r="J2005" s="871"/>
      <c r="K2005" s="870"/>
      <c r="L2005" s="870"/>
      <c r="M2005" s="870"/>
      <c r="N2005" s="870"/>
      <c r="O2005" s="870"/>
      <c r="P2005" s="870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73"/>
      <c r="E2006" s="677"/>
      <c r="F2006" s="677"/>
      <c r="G2006" s="677"/>
      <c r="H2006" s="872"/>
      <c r="I2006" s="871"/>
      <c r="J2006" s="871"/>
      <c r="K2006" s="870"/>
      <c r="L2006" s="870"/>
      <c r="M2006" s="870"/>
      <c r="N2006" s="870"/>
      <c r="O2006" s="870"/>
      <c r="P2006" s="870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73"/>
      <c r="E2007" s="677"/>
      <c r="F2007" s="677"/>
      <c r="G2007" s="677"/>
      <c r="H2007" s="872"/>
      <c r="I2007" s="871"/>
      <c r="J2007" s="871"/>
      <c r="K2007" s="870"/>
      <c r="L2007" s="870"/>
      <c r="M2007" s="870"/>
      <c r="N2007" s="870"/>
      <c r="O2007" s="870"/>
      <c r="P2007" s="870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73"/>
      <c r="E2008" s="677"/>
      <c r="F2008" s="677"/>
      <c r="G2008" s="677"/>
      <c r="H2008" s="872"/>
      <c r="I2008" s="871"/>
      <c r="J2008" s="871"/>
      <c r="K2008" s="870"/>
      <c r="L2008" s="870"/>
      <c r="M2008" s="870"/>
      <c r="N2008" s="870"/>
      <c r="O2008" s="870"/>
      <c r="P2008" s="870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73"/>
      <c r="E2009" s="677"/>
      <c r="F2009" s="677"/>
      <c r="G2009" s="677"/>
      <c r="H2009" s="872"/>
      <c r="I2009" s="871"/>
      <c r="J2009" s="871"/>
      <c r="K2009" s="870"/>
      <c r="L2009" s="870"/>
      <c r="M2009" s="870"/>
      <c r="N2009" s="870"/>
      <c r="O2009" s="870"/>
      <c r="P2009" s="870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73"/>
      <c r="E2010" s="677"/>
      <c r="F2010" s="677"/>
      <c r="G2010" s="677"/>
      <c r="H2010" s="872"/>
      <c r="I2010" s="871"/>
      <c r="J2010" s="871"/>
      <c r="K2010" s="870"/>
      <c r="L2010" s="870"/>
      <c r="M2010" s="870"/>
      <c r="N2010" s="870"/>
      <c r="O2010" s="870"/>
      <c r="P2010" s="870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73"/>
      <c r="E2011" s="677"/>
      <c r="F2011" s="677"/>
      <c r="G2011" s="677"/>
      <c r="H2011" s="872"/>
      <c r="I2011" s="871"/>
      <c r="J2011" s="871"/>
      <c r="K2011" s="870"/>
      <c r="L2011" s="870"/>
      <c r="M2011" s="870"/>
      <c r="N2011" s="870"/>
      <c r="O2011" s="870"/>
      <c r="P2011" s="870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73"/>
      <c r="E2012" s="677"/>
      <c r="F2012" s="677"/>
      <c r="G2012" s="677"/>
      <c r="H2012" s="872"/>
      <c r="I2012" s="871"/>
      <c r="J2012" s="871"/>
      <c r="K2012" s="870"/>
      <c r="L2012" s="870"/>
      <c r="M2012" s="870"/>
      <c r="N2012" s="870"/>
      <c r="O2012" s="870"/>
      <c r="P2012" s="870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73"/>
      <c r="E2013" s="677"/>
      <c r="F2013" s="677"/>
      <c r="G2013" s="677"/>
      <c r="H2013" s="872"/>
      <c r="I2013" s="871"/>
      <c r="J2013" s="871"/>
      <c r="K2013" s="870"/>
      <c r="L2013" s="870"/>
      <c r="M2013" s="870"/>
      <c r="N2013" s="870"/>
      <c r="O2013" s="870"/>
      <c r="P2013" s="870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73"/>
      <c r="E2014" s="677"/>
      <c r="F2014" s="677"/>
      <c r="G2014" s="677"/>
      <c r="H2014" s="872"/>
      <c r="I2014" s="871"/>
      <c r="J2014" s="871"/>
      <c r="K2014" s="870"/>
      <c r="L2014" s="870"/>
      <c r="M2014" s="870"/>
      <c r="N2014" s="870"/>
      <c r="O2014" s="870"/>
      <c r="P2014" s="870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73"/>
      <c r="E2015" s="677"/>
      <c r="F2015" s="677"/>
      <c r="G2015" s="677"/>
      <c r="H2015" s="872"/>
      <c r="I2015" s="871"/>
      <c r="J2015" s="871"/>
      <c r="K2015" s="870"/>
      <c r="L2015" s="870"/>
      <c r="M2015" s="870"/>
      <c r="N2015" s="870"/>
      <c r="O2015" s="870"/>
      <c r="P2015" s="870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73"/>
      <c r="E2016" s="677"/>
      <c r="F2016" s="677"/>
      <c r="G2016" s="677"/>
      <c r="H2016" s="872"/>
      <c r="I2016" s="871"/>
      <c r="J2016" s="871"/>
      <c r="K2016" s="870"/>
      <c r="L2016" s="870"/>
      <c r="M2016" s="870"/>
      <c r="N2016" s="870"/>
      <c r="O2016" s="870"/>
      <c r="P2016" s="870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73"/>
      <c r="E2017" s="677"/>
      <c r="F2017" s="677"/>
      <c r="G2017" s="677"/>
      <c r="H2017" s="872"/>
      <c r="I2017" s="871"/>
      <c r="J2017" s="871"/>
      <c r="K2017" s="870"/>
      <c r="L2017" s="870"/>
      <c r="M2017" s="870"/>
      <c r="N2017" s="870"/>
      <c r="O2017" s="870"/>
      <c r="P2017" s="870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73"/>
      <c r="E2018" s="677"/>
      <c r="F2018" s="677"/>
      <c r="G2018" s="677"/>
      <c r="H2018" s="872"/>
      <c r="I2018" s="871"/>
      <c r="J2018" s="871"/>
      <c r="K2018" s="870"/>
      <c r="L2018" s="870"/>
      <c r="M2018" s="870"/>
      <c r="N2018" s="870"/>
      <c r="O2018" s="870"/>
      <c r="P2018" s="870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73"/>
      <c r="E2019" s="677"/>
      <c r="F2019" s="677"/>
      <c r="G2019" s="677"/>
      <c r="H2019" s="872"/>
      <c r="I2019" s="871"/>
      <c r="J2019" s="871"/>
      <c r="K2019" s="870"/>
      <c r="L2019" s="870"/>
      <c r="M2019" s="870"/>
      <c r="N2019" s="870"/>
      <c r="O2019" s="870"/>
      <c r="P2019" s="870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73"/>
      <c r="E2020" s="677"/>
      <c r="F2020" s="677"/>
      <c r="G2020" s="677"/>
      <c r="H2020" s="872"/>
      <c r="I2020" s="871"/>
      <c r="J2020" s="871"/>
      <c r="K2020" s="870"/>
      <c r="L2020" s="870"/>
      <c r="M2020" s="870"/>
      <c r="N2020" s="870"/>
      <c r="O2020" s="870"/>
      <c r="P2020" s="870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73"/>
      <c r="E2021" s="677"/>
      <c r="F2021" s="677"/>
      <c r="G2021" s="677"/>
      <c r="H2021" s="872"/>
      <c r="I2021" s="871"/>
      <c r="J2021" s="871"/>
      <c r="K2021" s="870"/>
      <c r="L2021" s="870"/>
      <c r="M2021" s="870"/>
      <c r="N2021" s="870"/>
      <c r="O2021" s="870"/>
      <c r="P2021" s="870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73"/>
      <c r="E2022" s="677"/>
      <c r="F2022" s="677"/>
      <c r="G2022" s="677"/>
      <c r="H2022" s="872"/>
      <c r="I2022" s="871"/>
      <c r="J2022" s="871"/>
      <c r="K2022" s="870"/>
      <c r="L2022" s="870"/>
      <c r="M2022" s="870"/>
      <c r="N2022" s="870"/>
      <c r="O2022" s="870"/>
      <c r="P2022" s="870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73"/>
      <c r="E2023" s="677"/>
      <c r="F2023" s="677"/>
      <c r="G2023" s="677"/>
      <c r="H2023" s="872"/>
      <c r="I2023" s="871"/>
      <c r="J2023" s="871"/>
      <c r="K2023" s="870"/>
      <c r="L2023" s="870"/>
      <c r="M2023" s="870"/>
      <c r="N2023" s="870"/>
      <c r="O2023" s="870"/>
      <c r="P2023" s="870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73"/>
      <c r="E2024" s="677"/>
      <c r="F2024" s="677"/>
      <c r="G2024" s="677"/>
      <c r="H2024" s="872"/>
      <c r="I2024" s="871"/>
      <c r="J2024" s="871"/>
      <c r="K2024" s="870"/>
      <c r="L2024" s="870"/>
      <c r="M2024" s="870"/>
      <c r="N2024" s="870"/>
      <c r="O2024" s="870"/>
      <c r="P2024" s="870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73"/>
      <c r="E2025" s="677"/>
      <c r="F2025" s="677"/>
      <c r="G2025" s="677"/>
      <c r="H2025" s="872"/>
      <c r="I2025" s="871"/>
      <c r="J2025" s="871"/>
      <c r="K2025" s="870"/>
      <c r="L2025" s="870"/>
      <c r="M2025" s="870"/>
      <c r="N2025" s="870"/>
      <c r="O2025" s="870"/>
      <c r="P2025" s="870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73"/>
      <c r="E2026" s="677"/>
      <c r="F2026" s="677"/>
      <c r="G2026" s="677"/>
      <c r="H2026" s="872"/>
      <c r="I2026" s="871"/>
      <c r="J2026" s="871"/>
      <c r="K2026" s="870"/>
      <c r="L2026" s="870"/>
      <c r="M2026" s="870"/>
      <c r="N2026" s="870"/>
      <c r="O2026" s="870"/>
      <c r="P2026" s="870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73"/>
      <c r="E2027" s="677"/>
      <c r="F2027" s="677"/>
      <c r="G2027" s="677"/>
      <c r="H2027" s="872"/>
      <c r="I2027" s="871"/>
      <c r="J2027" s="871"/>
      <c r="K2027" s="870"/>
      <c r="L2027" s="870"/>
      <c r="M2027" s="870"/>
      <c r="N2027" s="870"/>
      <c r="O2027" s="870"/>
      <c r="P2027" s="870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73"/>
      <c r="E2028" s="677"/>
      <c r="F2028" s="677"/>
      <c r="G2028" s="677"/>
      <c r="H2028" s="872"/>
      <c r="I2028" s="871"/>
      <c r="J2028" s="871"/>
      <c r="K2028" s="870"/>
      <c r="L2028" s="870"/>
      <c r="M2028" s="870"/>
      <c r="N2028" s="870"/>
      <c r="O2028" s="870"/>
      <c r="P2028" s="870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73"/>
      <c r="E2029" s="677"/>
      <c r="F2029" s="677"/>
      <c r="G2029" s="677"/>
      <c r="H2029" s="872"/>
      <c r="I2029" s="871"/>
      <c r="J2029" s="871"/>
      <c r="K2029" s="870"/>
      <c r="L2029" s="870"/>
      <c r="M2029" s="870"/>
      <c r="N2029" s="870"/>
      <c r="O2029" s="870"/>
      <c r="P2029" s="870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73"/>
      <c r="E2030" s="677"/>
      <c r="F2030" s="677"/>
      <c r="G2030" s="677"/>
      <c r="H2030" s="872"/>
      <c r="I2030" s="871"/>
      <c r="J2030" s="871"/>
      <c r="K2030" s="870"/>
      <c r="L2030" s="870"/>
      <c r="M2030" s="870"/>
      <c r="N2030" s="870"/>
      <c r="O2030" s="870"/>
      <c r="P2030" s="870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73"/>
      <c r="E2031" s="677"/>
      <c r="F2031" s="677"/>
      <c r="G2031" s="677"/>
      <c r="H2031" s="872"/>
      <c r="I2031" s="871"/>
      <c r="J2031" s="871"/>
      <c r="K2031" s="870"/>
      <c r="L2031" s="870"/>
      <c r="M2031" s="870"/>
      <c r="N2031" s="870"/>
      <c r="O2031" s="870"/>
      <c r="P2031" s="870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73"/>
      <c r="E2032" s="677"/>
      <c r="F2032" s="677"/>
      <c r="G2032" s="677"/>
      <c r="H2032" s="872"/>
      <c r="I2032" s="871"/>
      <c r="J2032" s="871"/>
      <c r="K2032" s="870"/>
      <c r="L2032" s="870"/>
      <c r="M2032" s="870"/>
      <c r="N2032" s="870"/>
      <c r="O2032" s="870"/>
      <c r="P2032" s="870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73"/>
      <c r="E2033" s="677"/>
      <c r="F2033" s="677"/>
      <c r="G2033" s="677"/>
      <c r="H2033" s="872"/>
      <c r="I2033" s="871"/>
      <c r="J2033" s="871"/>
      <c r="K2033" s="870"/>
      <c r="L2033" s="870"/>
      <c r="M2033" s="870"/>
      <c r="N2033" s="870"/>
      <c r="O2033" s="870"/>
      <c r="P2033" s="870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73"/>
      <c r="E2034" s="677"/>
      <c r="F2034" s="677"/>
      <c r="G2034" s="677"/>
      <c r="H2034" s="872"/>
      <c r="I2034" s="871"/>
      <c r="J2034" s="871"/>
      <c r="K2034" s="870"/>
      <c r="L2034" s="870"/>
      <c r="M2034" s="870"/>
      <c r="N2034" s="870"/>
      <c r="O2034" s="870"/>
      <c r="P2034" s="870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73"/>
      <c r="E2035" s="677"/>
      <c r="F2035" s="677"/>
      <c r="G2035" s="677"/>
      <c r="H2035" s="872"/>
      <c r="I2035" s="871"/>
      <c r="J2035" s="871"/>
      <c r="K2035" s="870"/>
      <c r="L2035" s="870"/>
      <c r="M2035" s="870"/>
      <c r="N2035" s="870"/>
      <c r="O2035" s="870"/>
      <c r="P2035" s="870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73"/>
      <c r="E2036" s="677"/>
      <c r="F2036" s="677"/>
      <c r="G2036" s="677"/>
      <c r="H2036" s="872"/>
      <c r="I2036" s="871"/>
      <c r="J2036" s="871"/>
      <c r="K2036" s="870"/>
      <c r="L2036" s="870"/>
      <c r="M2036" s="870"/>
      <c r="N2036" s="870"/>
      <c r="O2036" s="870"/>
      <c r="P2036" s="870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73"/>
      <c r="E2037" s="677"/>
      <c r="F2037" s="677"/>
      <c r="G2037" s="677"/>
      <c r="H2037" s="872"/>
      <c r="I2037" s="871"/>
      <c r="J2037" s="871"/>
      <c r="K2037" s="870"/>
      <c r="L2037" s="870"/>
      <c r="M2037" s="870"/>
      <c r="N2037" s="870"/>
      <c r="O2037" s="870"/>
      <c r="P2037" s="870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73"/>
      <c r="E2038" s="677"/>
      <c r="F2038" s="677"/>
      <c r="G2038" s="677"/>
      <c r="H2038" s="872"/>
      <c r="I2038" s="871"/>
      <c r="J2038" s="871"/>
      <c r="K2038" s="870"/>
      <c r="L2038" s="870"/>
      <c r="M2038" s="870"/>
      <c r="N2038" s="870"/>
      <c r="O2038" s="870"/>
      <c r="P2038" s="870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73"/>
      <c r="E2039" s="677"/>
      <c r="F2039" s="677"/>
      <c r="G2039" s="677"/>
      <c r="H2039" s="872"/>
      <c r="I2039" s="871"/>
      <c r="J2039" s="871"/>
      <c r="K2039" s="870"/>
      <c r="L2039" s="870"/>
      <c r="M2039" s="870"/>
      <c r="N2039" s="870"/>
      <c r="O2039" s="870"/>
      <c r="P2039" s="870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73"/>
      <c r="E2040" s="677"/>
      <c r="F2040" s="677"/>
      <c r="G2040" s="677"/>
      <c r="H2040" s="872"/>
      <c r="I2040" s="871"/>
      <c r="J2040" s="871"/>
      <c r="K2040" s="870"/>
      <c r="L2040" s="870"/>
      <c r="M2040" s="870"/>
      <c r="N2040" s="870"/>
      <c r="O2040" s="870"/>
      <c r="P2040" s="870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73"/>
      <c r="E2041" s="677"/>
      <c r="F2041" s="677"/>
      <c r="G2041" s="677"/>
      <c r="H2041" s="872"/>
      <c r="I2041" s="871"/>
      <c r="J2041" s="871"/>
      <c r="K2041" s="870"/>
      <c r="L2041" s="870"/>
      <c r="M2041" s="870"/>
      <c r="N2041" s="870"/>
      <c r="O2041" s="870"/>
      <c r="P2041" s="870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73"/>
      <c r="E2042" s="677"/>
      <c r="F2042" s="677"/>
      <c r="G2042" s="677"/>
      <c r="H2042" s="872"/>
      <c r="I2042" s="871"/>
      <c r="J2042" s="871"/>
      <c r="K2042" s="870"/>
      <c r="L2042" s="870"/>
      <c r="M2042" s="870"/>
      <c r="N2042" s="870"/>
      <c r="O2042" s="870"/>
      <c r="P2042" s="870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73"/>
      <c r="E2043" s="677"/>
      <c r="F2043" s="677"/>
      <c r="G2043" s="677"/>
      <c r="H2043" s="872"/>
      <c r="I2043" s="871"/>
      <c r="J2043" s="871"/>
      <c r="K2043" s="870"/>
      <c r="L2043" s="870"/>
      <c r="M2043" s="870"/>
      <c r="N2043" s="870"/>
      <c r="O2043" s="870"/>
      <c r="P2043" s="870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73"/>
      <c r="E2044" s="677"/>
      <c r="F2044" s="677"/>
      <c r="G2044" s="677"/>
      <c r="H2044" s="872"/>
      <c r="I2044" s="871"/>
      <c r="J2044" s="871"/>
      <c r="K2044" s="870"/>
      <c r="L2044" s="870"/>
      <c r="M2044" s="870"/>
      <c r="N2044" s="870"/>
      <c r="O2044" s="870"/>
      <c r="P2044" s="870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73"/>
      <c r="E2045" s="677"/>
      <c r="F2045" s="677"/>
      <c r="G2045" s="677"/>
      <c r="H2045" s="872"/>
      <c r="I2045" s="871"/>
      <c r="J2045" s="871"/>
      <c r="K2045" s="870"/>
      <c r="L2045" s="870"/>
      <c r="M2045" s="870"/>
      <c r="N2045" s="870"/>
      <c r="O2045" s="870"/>
      <c r="P2045" s="870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73"/>
      <c r="E2046" s="677"/>
      <c r="F2046" s="677"/>
      <c r="G2046" s="677"/>
      <c r="H2046" s="872"/>
      <c r="I2046" s="871"/>
      <c r="J2046" s="871"/>
      <c r="K2046" s="870"/>
      <c r="L2046" s="870"/>
      <c r="M2046" s="870"/>
      <c r="N2046" s="870"/>
      <c r="O2046" s="870"/>
      <c r="P2046" s="870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73"/>
      <c r="E2047" s="677"/>
      <c r="F2047" s="677"/>
      <c r="G2047" s="677"/>
      <c r="H2047" s="872"/>
      <c r="I2047" s="871"/>
      <c r="J2047" s="871"/>
      <c r="K2047" s="870"/>
      <c r="L2047" s="870"/>
      <c r="M2047" s="870"/>
      <c r="N2047" s="870"/>
      <c r="O2047" s="870"/>
      <c r="P2047" s="870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73"/>
      <c r="E2048" s="677"/>
      <c r="F2048" s="677"/>
      <c r="G2048" s="677"/>
      <c r="H2048" s="872"/>
      <c r="I2048" s="871"/>
      <c r="J2048" s="871"/>
      <c r="K2048" s="870"/>
      <c r="L2048" s="870"/>
      <c r="M2048" s="870"/>
      <c r="N2048" s="870"/>
      <c r="O2048" s="870"/>
      <c r="P2048" s="870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73"/>
      <c r="E2049" s="677"/>
      <c r="F2049" s="677"/>
      <c r="G2049" s="677"/>
      <c r="H2049" s="872"/>
      <c r="I2049" s="871"/>
      <c r="J2049" s="871"/>
      <c r="K2049" s="870"/>
      <c r="L2049" s="870"/>
      <c r="M2049" s="870"/>
      <c r="N2049" s="870"/>
      <c r="O2049" s="870"/>
      <c r="P2049" s="870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73"/>
      <c r="E2050" s="677"/>
      <c r="F2050" s="677"/>
      <c r="G2050" s="677"/>
      <c r="H2050" s="872"/>
      <c r="I2050" s="871"/>
      <c r="J2050" s="871"/>
      <c r="K2050" s="870"/>
      <c r="L2050" s="870"/>
      <c r="M2050" s="870"/>
      <c r="N2050" s="870"/>
      <c r="O2050" s="870"/>
      <c r="P2050" s="870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73"/>
      <c r="E2051" s="677"/>
      <c r="F2051" s="677"/>
      <c r="G2051" s="677"/>
      <c r="H2051" s="872"/>
      <c r="I2051" s="871"/>
      <c r="J2051" s="871"/>
      <c r="K2051" s="870"/>
      <c r="L2051" s="870"/>
      <c r="M2051" s="870"/>
      <c r="N2051" s="870"/>
      <c r="O2051" s="870"/>
      <c r="P2051" s="870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73"/>
      <c r="E2052" s="677"/>
      <c r="F2052" s="677"/>
      <c r="G2052" s="677"/>
      <c r="H2052" s="872"/>
      <c r="I2052" s="871"/>
      <c r="J2052" s="871"/>
      <c r="K2052" s="870"/>
      <c r="L2052" s="870"/>
      <c r="M2052" s="870"/>
      <c r="N2052" s="870"/>
      <c r="O2052" s="870"/>
      <c r="P2052" s="870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73"/>
      <c r="E2053" s="677"/>
      <c r="F2053" s="677"/>
      <c r="G2053" s="677"/>
      <c r="H2053" s="872"/>
      <c r="I2053" s="871"/>
      <c r="J2053" s="871"/>
      <c r="K2053" s="870"/>
      <c r="L2053" s="870"/>
      <c r="M2053" s="870"/>
      <c r="N2053" s="870"/>
      <c r="O2053" s="870"/>
      <c r="P2053" s="870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73"/>
      <c r="E2054" s="677"/>
      <c r="F2054" s="677"/>
      <c r="G2054" s="677"/>
      <c r="H2054" s="872"/>
      <c r="I2054" s="871"/>
      <c r="J2054" s="871"/>
      <c r="K2054" s="870"/>
      <c r="L2054" s="870"/>
      <c r="M2054" s="870"/>
      <c r="N2054" s="870"/>
      <c r="O2054" s="870"/>
      <c r="P2054" s="870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73"/>
      <c r="E2055" s="677"/>
      <c r="F2055" s="677"/>
      <c r="G2055" s="677"/>
      <c r="H2055" s="872"/>
      <c r="I2055" s="871"/>
      <c r="J2055" s="871"/>
      <c r="K2055" s="870"/>
      <c r="L2055" s="870"/>
      <c r="M2055" s="870"/>
      <c r="N2055" s="870"/>
      <c r="O2055" s="870"/>
      <c r="P2055" s="870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73"/>
      <c r="E2056" s="677"/>
      <c r="F2056" s="677"/>
      <c r="G2056" s="677"/>
      <c r="H2056" s="872"/>
      <c r="I2056" s="871"/>
      <c r="J2056" s="871"/>
      <c r="K2056" s="870"/>
      <c r="L2056" s="870"/>
      <c r="M2056" s="870"/>
      <c r="N2056" s="870"/>
      <c r="O2056" s="870"/>
      <c r="P2056" s="870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73"/>
      <c r="E2057" s="677"/>
      <c r="F2057" s="677"/>
      <c r="G2057" s="677"/>
      <c r="H2057" s="872"/>
      <c r="I2057" s="871"/>
      <c r="J2057" s="871"/>
      <c r="K2057" s="870"/>
      <c r="L2057" s="870"/>
      <c r="M2057" s="870"/>
      <c r="N2057" s="870"/>
      <c r="O2057" s="870"/>
      <c r="P2057" s="870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73"/>
      <c r="E2058" s="677"/>
      <c r="F2058" s="677"/>
      <c r="G2058" s="677"/>
      <c r="H2058" s="872"/>
      <c r="I2058" s="871"/>
      <c r="J2058" s="871"/>
      <c r="K2058" s="870"/>
      <c r="L2058" s="870"/>
      <c r="M2058" s="870"/>
      <c r="N2058" s="870"/>
      <c r="O2058" s="870"/>
      <c r="P2058" s="870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73"/>
      <c r="E2059" s="677"/>
      <c r="F2059" s="677"/>
      <c r="G2059" s="677"/>
      <c r="H2059" s="872"/>
      <c r="I2059" s="871"/>
      <c r="J2059" s="871"/>
      <c r="K2059" s="870"/>
      <c r="L2059" s="870"/>
      <c r="M2059" s="870"/>
      <c r="N2059" s="870"/>
      <c r="O2059" s="870"/>
      <c r="P2059" s="870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73"/>
      <c r="E2060" s="677"/>
      <c r="F2060" s="677"/>
      <c r="G2060" s="677"/>
      <c r="H2060" s="872"/>
      <c r="I2060" s="871"/>
      <c r="J2060" s="871"/>
      <c r="K2060" s="870"/>
      <c r="L2060" s="870"/>
      <c r="M2060" s="870"/>
      <c r="N2060" s="870"/>
      <c r="O2060" s="870"/>
      <c r="P2060" s="870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73"/>
      <c r="E2061" s="677"/>
      <c r="F2061" s="677"/>
      <c r="G2061" s="677"/>
      <c r="H2061" s="872"/>
      <c r="I2061" s="871"/>
      <c r="J2061" s="871"/>
      <c r="K2061" s="870"/>
      <c r="L2061" s="870"/>
      <c r="M2061" s="870"/>
      <c r="N2061" s="870"/>
      <c r="O2061" s="870"/>
      <c r="P2061" s="870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73"/>
      <c r="E2062" s="677"/>
      <c r="F2062" s="677"/>
      <c r="G2062" s="677"/>
      <c r="H2062" s="872"/>
      <c r="I2062" s="871"/>
      <c r="J2062" s="871"/>
      <c r="K2062" s="870"/>
      <c r="L2062" s="870"/>
      <c r="M2062" s="870"/>
      <c r="N2062" s="870"/>
      <c r="O2062" s="870"/>
      <c r="P2062" s="870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73"/>
      <c r="E2063" s="677"/>
      <c r="F2063" s="677"/>
      <c r="G2063" s="677"/>
      <c r="H2063" s="872"/>
      <c r="I2063" s="871"/>
      <c r="J2063" s="871"/>
      <c r="K2063" s="870"/>
      <c r="L2063" s="870"/>
      <c r="M2063" s="870"/>
      <c r="N2063" s="870"/>
      <c r="O2063" s="870"/>
      <c r="P2063" s="870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73"/>
      <c r="E2064" s="677"/>
      <c r="F2064" s="677"/>
      <c r="G2064" s="677"/>
      <c r="H2064" s="872"/>
      <c r="I2064" s="871"/>
      <c r="J2064" s="871"/>
      <c r="K2064" s="870"/>
      <c r="L2064" s="870"/>
      <c r="M2064" s="870"/>
      <c r="N2064" s="870"/>
      <c r="O2064" s="870"/>
      <c r="P2064" s="870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73"/>
      <c r="E2065" s="677"/>
      <c r="F2065" s="677"/>
      <c r="G2065" s="677"/>
      <c r="H2065" s="872"/>
      <c r="I2065" s="871"/>
      <c r="J2065" s="871"/>
      <c r="K2065" s="870"/>
      <c r="L2065" s="870"/>
      <c r="M2065" s="870"/>
      <c r="N2065" s="870"/>
      <c r="O2065" s="870"/>
      <c r="P2065" s="870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73"/>
      <c r="E2066" s="677"/>
      <c r="F2066" s="677"/>
      <c r="G2066" s="677"/>
      <c r="H2066" s="872"/>
      <c r="I2066" s="871"/>
      <c r="J2066" s="871"/>
      <c r="K2066" s="870"/>
      <c r="L2066" s="870"/>
      <c r="M2066" s="870"/>
      <c r="N2066" s="870"/>
      <c r="O2066" s="870"/>
      <c r="P2066" s="870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73"/>
      <c r="E2067" s="677"/>
      <c r="F2067" s="677"/>
      <c r="G2067" s="677"/>
      <c r="H2067" s="872"/>
      <c r="I2067" s="871"/>
      <c r="J2067" s="871"/>
      <c r="K2067" s="870"/>
      <c r="L2067" s="870"/>
      <c r="M2067" s="870"/>
      <c r="N2067" s="870"/>
      <c r="O2067" s="870"/>
      <c r="P2067" s="870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73"/>
      <c r="E2068" s="677"/>
      <c r="F2068" s="677"/>
      <c r="G2068" s="677"/>
      <c r="H2068" s="872"/>
      <c r="I2068" s="871"/>
      <c r="J2068" s="871"/>
      <c r="K2068" s="870"/>
      <c r="L2068" s="870"/>
      <c r="M2068" s="870"/>
      <c r="N2068" s="870"/>
      <c r="O2068" s="870"/>
      <c r="P2068" s="870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73"/>
      <c r="E2069" s="677"/>
      <c r="F2069" s="677"/>
      <c r="G2069" s="677"/>
      <c r="H2069" s="872"/>
      <c r="I2069" s="871"/>
      <c r="J2069" s="871"/>
      <c r="K2069" s="870"/>
      <c r="L2069" s="870"/>
      <c r="M2069" s="870"/>
      <c r="N2069" s="870"/>
      <c r="O2069" s="870"/>
      <c r="P2069" s="870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73"/>
      <c r="E2070" s="677"/>
      <c r="F2070" s="677"/>
      <c r="G2070" s="677"/>
      <c r="H2070" s="872"/>
      <c r="I2070" s="871"/>
      <c r="J2070" s="871"/>
      <c r="K2070" s="870"/>
      <c r="L2070" s="870"/>
      <c r="M2070" s="870"/>
      <c r="N2070" s="870"/>
      <c r="O2070" s="870"/>
      <c r="P2070" s="870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73"/>
      <c r="E2071" s="677"/>
      <c r="F2071" s="677"/>
      <c r="G2071" s="677"/>
      <c r="H2071" s="872"/>
      <c r="I2071" s="871"/>
      <c r="J2071" s="871"/>
      <c r="K2071" s="870"/>
      <c r="L2071" s="870"/>
      <c r="M2071" s="870"/>
      <c r="N2071" s="870"/>
      <c r="O2071" s="870"/>
      <c r="P2071" s="870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73"/>
      <c r="E2072" s="677"/>
      <c r="F2072" s="677"/>
      <c r="G2072" s="677"/>
      <c r="H2072" s="872"/>
      <c r="I2072" s="871"/>
      <c r="J2072" s="871"/>
      <c r="K2072" s="870"/>
      <c r="L2072" s="870"/>
      <c r="M2072" s="870"/>
      <c r="N2072" s="870"/>
      <c r="O2072" s="870"/>
      <c r="P2072" s="870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73"/>
      <c r="E2073" s="677"/>
      <c r="F2073" s="677"/>
      <c r="G2073" s="677"/>
      <c r="H2073" s="872"/>
      <c r="I2073" s="871"/>
      <c r="J2073" s="871"/>
      <c r="K2073" s="870"/>
      <c r="L2073" s="870"/>
      <c r="M2073" s="870"/>
      <c r="N2073" s="870"/>
      <c r="O2073" s="870"/>
      <c r="P2073" s="870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73"/>
      <c r="E2074" s="677"/>
      <c r="F2074" s="677"/>
      <c r="G2074" s="677"/>
      <c r="H2074" s="872"/>
      <c r="I2074" s="871"/>
      <c r="J2074" s="871"/>
      <c r="K2074" s="870"/>
      <c r="L2074" s="870"/>
      <c r="M2074" s="870"/>
      <c r="N2074" s="870"/>
      <c r="O2074" s="870"/>
      <c r="P2074" s="870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73"/>
      <c r="E2075" s="677"/>
      <c r="F2075" s="677"/>
      <c r="G2075" s="677"/>
      <c r="H2075" s="872"/>
      <c r="I2075" s="871"/>
      <c r="J2075" s="871"/>
      <c r="K2075" s="870"/>
      <c r="L2075" s="870"/>
      <c r="M2075" s="870"/>
      <c r="N2075" s="870"/>
      <c r="O2075" s="870"/>
      <c r="P2075" s="870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73"/>
      <c r="E2076" s="677"/>
      <c r="F2076" s="677"/>
      <c r="G2076" s="677"/>
      <c r="H2076" s="872"/>
      <c r="I2076" s="871"/>
      <c r="J2076" s="871"/>
      <c r="K2076" s="870"/>
      <c r="L2076" s="870"/>
      <c r="M2076" s="870"/>
      <c r="N2076" s="870"/>
      <c r="O2076" s="870"/>
      <c r="P2076" s="870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73"/>
      <c r="E2077" s="677"/>
      <c r="F2077" s="677"/>
      <c r="G2077" s="677"/>
      <c r="H2077" s="872"/>
      <c r="I2077" s="871"/>
      <c r="J2077" s="871"/>
      <c r="K2077" s="870"/>
      <c r="L2077" s="870"/>
      <c r="M2077" s="870"/>
      <c r="N2077" s="870"/>
      <c r="O2077" s="870"/>
      <c r="P2077" s="870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73"/>
      <c r="E2078" s="677"/>
      <c r="F2078" s="677"/>
      <c r="G2078" s="677"/>
      <c r="H2078" s="872"/>
      <c r="I2078" s="871"/>
      <c r="J2078" s="871"/>
      <c r="K2078" s="870"/>
      <c r="L2078" s="870"/>
      <c r="M2078" s="870"/>
      <c r="N2078" s="870"/>
      <c r="O2078" s="870"/>
      <c r="P2078" s="870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73"/>
      <c r="E2079" s="677"/>
      <c r="F2079" s="677"/>
      <c r="G2079" s="677"/>
      <c r="H2079" s="872"/>
      <c r="I2079" s="871"/>
      <c r="J2079" s="871"/>
      <c r="K2079" s="870"/>
      <c r="L2079" s="870"/>
      <c r="M2079" s="870"/>
      <c r="N2079" s="870"/>
      <c r="O2079" s="870"/>
      <c r="P2079" s="870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73"/>
      <c r="E2080" s="677"/>
      <c r="F2080" s="677"/>
      <c r="G2080" s="677"/>
      <c r="H2080" s="872"/>
      <c r="I2080" s="871"/>
      <c r="J2080" s="871"/>
      <c r="K2080" s="870"/>
      <c r="L2080" s="870"/>
      <c r="M2080" s="870"/>
      <c r="N2080" s="870"/>
      <c r="O2080" s="870"/>
      <c r="P2080" s="870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73"/>
      <c r="E2081" s="677"/>
      <c r="F2081" s="677"/>
      <c r="G2081" s="677"/>
      <c r="H2081" s="872"/>
      <c r="I2081" s="871"/>
      <c r="J2081" s="871"/>
      <c r="K2081" s="870"/>
      <c r="L2081" s="870"/>
      <c r="M2081" s="870"/>
      <c r="N2081" s="870"/>
      <c r="O2081" s="870"/>
      <c r="P2081" s="870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73"/>
      <c r="E2082" s="677"/>
      <c r="F2082" s="677"/>
      <c r="G2082" s="677"/>
      <c r="H2082" s="872"/>
      <c r="I2082" s="871"/>
      <c r="J2082" s="871"/>
      <c r="K2082" s="870"/>
      <c r="L2082" s="870"/>
      <c r="M2082" s="870"/>
      <c r="N2082" s="870"/>
      <c r="O2082" s="870"/>
      <c r="P2082" s="870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73"/>
      <c r="E2083" s="677"/>
      <c r="F2083" s="677"/>
      <c r="G2083" s="677"/>
      <c r="H2083" s="872"/>
      <c r="I2083" s="871"/>
      <c r="J2083" s="871"/>
      <c r="K2083" s="870"/>
      <c r="L2083" s="870"/>
      <c r="M2083" s="870"/>
      <c r="N2083" s="870"/>
      <c r="O2083" s="870"/>
      <c r="P2083" s="870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73"/>
      <c r="E2084" s="677"/>
      <c r="F2084" s="677"/>
      <c r="G2084" s="677"/>
      <c r="H2084" s="872"/>
      <c r="I2084" s="871"/>
      <c r="J2084" s="871"/>
      <c r="K2084" s="870"/>
      <c r="L2084" s="870"/>
      <c r="M2084" s="870"/>
      <c r="N2084" s="870"/>
      <c r="O2084" s="870"/>
      <c r="P2084" s="870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73"/>
      <c r="E2085" s="677"/>
      <c r="F2085" s="677"/>
      <c r="G2085" s="677"/>
      <c r="H2085" s="872"/>
      <c r="I2085" s="871"/>
      <c r="J2085" s="871"/>
      <c r="K2085" s="870"/>
      <c r="L2085" s="870"/>
      <c r="M2085" s="870"/>
      <c r="N2085" s="870"/>
      <c r="O2085" s="870"/>
      <c r="P2085" s="870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73"/>
      <c r="E2086" s="677"/>
      <c r="F2086" s="677"/>
      <c r="G2086" s="677"/>
      <c r="H2086" s="872"/>
      <c r="I2086" s="871"/>
      <c r="J2086" s="871"/>
      <c r="K2086" s="870"/>
      <c r="L2086" s="870"/>
      <c r="M2086" s="870"/>
      <c r="N2086" s="870"/>
      <c r="O2086" s="870"/>
      <c r="P2086" s="870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73"/>
      <c r="E2087" s="677"/>
      <c r="F2087" s="677"/>
      <c r="G2087" s="677"/>
      <c r="H2087" s="872"/>
      <c r="I2087" s="871"/>
      <c r="J2087" s="871"/>
      <c r="K2087" s="870"/>
      <c r="L2087" s="870"/>
      <c r="M2087" s="870"/>
      <c r="N2087" s="870"/>
      <c r="O2087" s="870"/>
      <c r="P2087" s="870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73"/>
      <c r="E2088" s="677"/>
      <c r="F2088" s="677"/>
      <c r="G2088" s="677"/>
      <c r="H2088" s="872"/>
      <c r="I2088" s="871"/>
      <c r="J2088" s="871"/>
      <c r="K2088" s="870"/>
      <c r="L2088" s="870"/>
      <c r="M2088" s="870"/>
      <c r="N2088" s="870"/>
      <c r="O2088" s="870"/>
      <c r="P2088" s="870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73"/>
      <c r="E2089" s="677"/>
      <c r="F2089" s="677"/>
      <c r="G2089" s="677"/>
      <c r="H2089" s="872"/>
      <c r="I2089" s="871"/>
      <c r="J2089" s="871"/>
      <c r="K2089" s="870"/>
      <c r="L2089" s="870"/>
      <c r="M2089" s="870"/>
      <c r="N2089" s="870"/>
      <c r="O2089" s="870"/>
      <c r="P2089" s="870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73"/>
      <c r="E2090" s="677"/>
      <c r="F2090" s="677"/>
      <c r="G2090" s="677"/>
      <c r="H2090" s="872"/>
      <c r="I2090" s="871"/>
      <c r="J2090" s="871"/>
      <c r="K2090" s="870"/>
      <c r="L2090" s="870"/>
      <c r="M2090" s="870"/>
      <c r="N2090" s="870"/>
      <c r="O2090" s="870"/>
      <c r="P2090" s="870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73"/>
      <c r="E2091" s="677"/>
      <c r="F2091" s="677"/>
      <c r="G2091" s="677"/>
      <c r="H2091" s="872"/>
      <c r="I2091" s="871"/>
      <c r="J2091" s="871"/>
      <c r="K2091" s="870"/>
      <c r="L2091" s="870"/>
      <c r="M2091" s="870"/>
      <c r="N2091" s="870"/>
      <c r="O2091" s="870"/>
      <c r="P2091" s="870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73"/>
      <c r="E2092" s="677"/>
      <c r="F2092" s="677"/>
      <c r="G2092" s="677"/>
      <c r="H2092" s="872"/>
      <c r="I2092" s="871"/>
      <c r="J2092" s="871"/>
      <c r="K2092" s="870"/>
      <c r="L2092" s="870"/>
      <c r="M2092" s="870"/>
      <c r="N2092" s="870"/>
      <c r="O2092" s="870"/>
      <c r="P2092" s="870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73"/>
      <c r="E2093" s="677"/>
      <c r="F2093" s="677"/>
      <c r="G2093" s="677"/>
      <c r="H2093" s="872"/>
      <c r="I2093" s="871"/>
      <c r="J2093" s="871"/>
      <c r="K2093" s="870"/>
      <c r="L2093" s="870"/>
      <c r="M2093" s="870"/>
      <c r="N2093" s="870"/>
      <c r="O2093" s="870"/>
      <c r="P2093" s="870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73"/>
      <c r="E2094" s="677"/>
      <c r="F2094" s="677"/>
      <c r="G2094" s="677"/>
      <c r="H2094" s="872"/>
      <c r="I2094" s="871"/>
      <c r="J2094" s="871"/>
      <c r="K2094" s="870"/>
      <c r="L2094" s="870"/>
      <c r="M2094" s="870"/>
      <c r="N2094" s="870"/>
      <c r="O2094" s="870"/>
      <c r="P2094" s="870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73"/>
      <c r="E2095" s="677"/>
      <c r="F2095" s="677"/>
      <c r="G2095" s="677"/>
      <c r="H2095" s="872"/>
      <c r="I2095" s="871"/>
      <c r="J2095" s="871"/>
      <c r="K2095" s="870"/>
      <c r="L2095" s="870"/>
      <c r="M2095" s="870"/>
      <c r="N2095" s="870"/>
      <c r="O2095" s="870"/>
      <c r="P2095" s="870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73"/>
      <c r="E2096" s="677"/>
      <c r="F2096" s="677"/>
      <c r="G2096" s="677"/>
      <c r="H2096" s="872"/>
      <c r="I2096" s="871"/>
      <c r="J2096" s="871"/>
      <c r="K2096" s="870"/>
      <c r="L2096" s="870"/>
      <c r="M2096" s="870"/>
      <c r="N2096" s="870"/>
      <c r="O2096" s="870"/>
      <c r="P2096" s="870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73"/>
      <c r="E2097" s="677"/>
      <c r="F2097" s="677"/>
      <c r="G2097" s="677"/>
      <c r="H2097" s="872"/>
      <c r="I2097" s="871"/>
      <c r="J2097" s="871"/>
      <c r="K2097" s="870"/>
      <c r="L2097" s="870"/>
      <c r="M2097" s="870"/>
      <c r="N2097" s="870"/>
      <c r="O2097" s="870"/>
      <c r="P2097" s="870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73"/>
      <c r="E2098" s="677"/>
      <c r="F2098" s="677"/>
      <c r="G2098" s="677"/>
      <c r="H2098" s="872"/>
      <c r="I2098" s="871"/>
      <c r="J2098" s="871"/>
      <c r="K2098" s="870"/>
      <c r="L2098" s="870"/>
      <c r="M2098" s="870"/>
      <c r="N2098" s="870"/>
      <c r="O2098" s="870"/>
      <c r="P2098" s="870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73"/>
      <c r="E2099" s="677"/>
      <c r="F2099" s="677"/>
      <c r="G2099" s="677"/>
      <c r="H2099" s="872"/>
      <c r="I2099" s="871"/>
      <c r="J2099" s="871"/>
      <c r="K2099" s="870"/>
      <c r="L2099" s="870"/>
      <c r="M2099" s="870"/>
      <c r="N2099" s="870"/>
      <c r="O2099" s="870"/>
      <c r="P2099" s="870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73"/>
      <c r="E2100" s="677"/>
      <c r="F2100" s="677"/>
      <c r="G2100" s="677"/>
      <c r="H2100" s="872"/>
      <c r="I2100" s="871"/>
      <c r="J2100" s="871"/>
      <c r="K2100" s="870"/>
      <c r="L2100" s="870"/>
      <c r="M2100" s="870"/>
      <c r="N2100" s="870"/>
      <c r="O2100" s="870"/>
      <c r="P2100" s="870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73"/>
      <c r="E2101" s="677"/>
      <c r="F2101" s="677"/>
      <c r="G2101" s="677"/>
      <c r="H2101" s="872"/>
      <c r="I2101" s="871"/>
      <c r="J2101" s="871"/>
      <c r="K2101" s="870"/>
      <c r="L2101" s="870"/>
      <c r="M2101" s="870"/>
      <c r="N2101" s="870"/>
      <c r="O2101" s="870"/>
      <c r="P2101" s="870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73"/>
      <c r="E2102" s="677"/>
      <c r="F2102" s="677"/>
      <c r="G2102" s="677"/>
      <c r="H2102" s="872"/>
      <c r="I2102" s="871"/>
      <c r="J2102" s="871"/>
      <c r="K2102" s="870"/>
      <c r="L2102" s="870"/>
      <c r="M2102" s="870"/>
      <c r="N2102" s="870"/>
      <c r="O2102" s="870"/>
      <c r="P2102" s="870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73"/>
      <c r="E2103" s="677"/>
      <c r="F2103" s="677"/>
      <c r="G2103" s="677"/>
      <c r="H2103" s="872"/>
      <c r="I2103" s="871"/>
      <c r="J2103" s="871"/>
      <c r="K2103" s="870"/>
      <c r="L2103" s="870"/>
      <c r="M2103" s="870"/>
      <c r="N2103" s="870"/>
      <c r="O2103" s="870"/>
      <c r="P2103" s="870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73"/>
      <c r="E2104" s="677"/>
      <c r="F2104" s="677"/>
      <c r="G2104" s="677"/>
      <c r="H2104" s="872"/>
      <c r="I2104" s="871"/>
      <c r="J2104" s="871"/>
      <c r="K2104" s="870"/>
      <c r="L2104" s="870"/>
      <c r="M2104" s="870"/>
      <c r="N2104" s="870"/>
      <c r="O2104" s="870"/>
      <c r="P2104" s="870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73"/>
      <c r="E2105" s="677"/>
      <c r="F2105" s="677"/>
      <c r="G2105" s="677"/>
      <c r="H2105" s="872"/>
      <c r="I2105" s="871"/>
      <c r="J2105" s="871"/>
      <c r="K2105" s="870"/>
      <c r="L2105" s="870"/>
      <c r="M2105" s="870"/>
      <c r="N2105" s="870"/>
      <c r="O2105" s="870"/>
      <c r="P2105" s="870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73"/>
      <c r="E2106" s="677"/>
      <c r="F2106" s="677"/>
      <c r="G2106" s="677"/>
      <c r="H2106" s="872"/>
      <c r="I2106" s="871"/>
      <c r="J2106" s="871"/>
      <c r="K2106" s="870"/>
      <c r="L2106" s="870"/>
      <c r="M2106" s="870"/>
      <c r="N2106" s="870"/>
      <c r="O2106" s="870"/>
      <c r="P2106" s="870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73"/>
      <c r="E2107" s="677"/>
      <c r="F2107" s="677"/>
      <c r="G2107" s="677"/>
      <c r="H2107" s="872"/>
      <c r="I2107" s="871"/>
      <c r="J2107" s="871"/>
      <c r="K2107" s="870"/>
      <c r="L2107" s="870"/>
      <c r="M2107" s="870"/>
      <c r="N2107" s="870"/>
      <c r="O2107" s="870"/>
      <c r="P2107" s="870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73"/>
      <c r="E2108" s="677"/>
      <c r="F2108" s="677"/>
      <c r="G2108" s="677"/>
      <c r="H2108" s="872"/>
      <c r="I2108" s="871"/>
      <c r="J2108" s="871"/>
      <c r="K2108" s="870"/>
      <c r="L2108" s="870"/>
      <c r="M2108" s="870"/>
      <c r="N2108" s="870"/>
      <c r="O2108" s="870"/>
      <c r="P2108" s="870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73"/>
      <c r="E2109" s="677"/>
      <c r="F2109" s="677"/>
      <c r="G2109" s="677"/>
      <c r="H2109" s="872"/>
      <c r="I2109" s="871"/>
      <c r="J2109" s="871"/>
      <c r="K2109" s="870"/>
      <c r="L2109" s="870"/>
      <c r="M2109" s="870"/>
      <c r="N2109" s="870"/>
      <c r="O2109" s="870"/>
      <c r="P2109" s="870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73"/>
      <c r="E2110" s="677"/>
      <c r="F2110" s="677"/>
      <c r="G2110" s="677"/>
      <c r="H2110" s="872"/>
      <c r="I2110" s="871"/>
      <c r="J2110" s="871"/>
      <c r="K2110" s="870"/>
      <c r="L2110" s="870"/>
      <c r="M2110" s="870"/>
      <c r="N2110" s="870"/>
      <c r="O2110" s="870"/>
      <c r="P2110" s="870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73"/>
      <c r="E2111" s="677"/>
      <c r="F2111" s="677"/>
      <c r="G2111" s="677"/>
      <c r="H2111" s="872"/>
      <c r="I2111" s="871"/>
      <c r="J2111" s="871"/>
      <c r="K2111" s="870"/>
      <c r="L2111" s="870"/>
      <c r="M2111" s="870"/>
      <c r="N2111" s="870"/>
      <c r="O2111" s="870"/>
      <c r="P2111" s="870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73"/>
      <c r="E2112" s="677"/>
      <c r="F2112" s="677"/>
      <c r="G2112" s="677"/>
      <c r="H2112" s="872"/>
      <c r="I2112" s="871"/>
      <c r="J2112" s="871"/>
      <c r="K2112" s="870"/>
      <c r="L2112" s="870"/>
      <c r="M2112" s="870"/>
      <c r="N2112" s="870"/>
      <c r="O2112" s="870"/>
      <c r="P2112" s="870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73"/>
      <c r="E2113" s="677"/>
      <c r="F2113" s="677"/>
      <c r="G2113" s="677"/>
      <c r="H2113" s="872"/>
      <c r="I2113" s="871"/>
      <c r="J2113" s="871"/>
      <c r="K2113" s="870"/>
      <c r="L2113" s="870"/>
      <c r="M2113" s="870"/>
      <c r="N2113" s="870"/>
      <c r="O2113" s="870"/>
      <c r="P2113" s="870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73"/>
      <c r="E2114" s="677"/>
      <c r="F2114" s="677"/>
      <c r="G2114" s="677"/>
      <c r="H2114" s="872"/>
      <c r="I2114" s="871"/>
      <c r="J2114" s="871"/>
      <c r="K2114" s="870"/>
      <c r="L2114" s="870"/>
      <c r="M2114" s="870"/>
      <c r="N2114" s="870"/>
      <c r="O2114" s="870"/>
      <c r="P2114" s="870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73"/>
      <c r="E2115" s="677"/>
      <c r="F2115" s="677"/>
      <c r="G2115" s="677"/>
      <c r="H2115" s="872"/>
      <c r="I2115" s="871"/>
      <c r="J2115" s="871"/>
      <c r="K2115" s="870"/>
      <c r="L2115" s="870"/>
      <c r="M2115" s="870"/>
      <c r="N2115" s="870"/>
      <c r="O2115" s="870"/>
      <c r="P2115" s="870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73"/>
      <c r="E2116" s="677"/>
      <c r="F2116" s="677"/>
      <c r="G2116" s="677"/>
      <c r="H2116" s="872"/>
      <c r="I2116" s="871"/>
      <c r="J2116" s="871"/>
      <c r="K2116" s="870"/>
      <c r="L2116" s="870"/>
      <c r="M2116" s="870"/>
      <c r="N2116" s="870"/>
      <c r="O2116" s="870"/>
      <c r="P2116" s="870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73"/>
      <c r="E2117" s="677"/>
      <c r="F2117" s="677"/>
      <c r="G2117" s="677"/>
      <c r="H2117" s="872"/>
      <c r="I2117" s="871"/>
      <c r="J2117" s="871"/>
      <c r="K2117" s="870"/>
      <c r="L2117" s="870"/>
      <c r="M2117" s="870"/>
      <c r="N2117" s="870"/>
      <c r="O2117" s="870"/>
      <c r="P2117" s="870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73"/>
      <c r="E2118" s="677"/>
      <c r="F2118" s="677"/>
      <c r="G2118" s="677"/>
      <c r="H2118" s="872"/>
      <c r="I2118" s="871"/>
      <c r="J2118" s="871"/>
      <c r="K2118" s="870"/>
      <c r="L2118" s="870"/>
      <c r="M2118" s="870"/>
      <c r="N2118" s="870"/>
      <c r="O2118" s="870"/>
      <c r="P2118" s="870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73"/>
      <c r="E2119" s="677"/>
      <c r="F2119" s="677"/>
      <c r="G2119" s="677"/>
      <c r="H2119" s="872"/>
      <c r="I2119" s="871"/>
      <c r="J2119" s="871"/>
      <c r="K2119" s="870"/>
      <c r="L2119" s="870"/>
      <c r="M2119" s="870"/>
      <c r="N2119" s="870"/>
      <c r="O2119" s="870"/>
      <c r="P2119" s="870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73"/>
      <c r="E2120" s="677"/>
      <c r="F2120" s="677"/>
      <c r="G2120" s="677"/>
      <c r="H2120" s="872"/>
      <c r="I2120" s="871"/>
      <c r="J2120" s="871"/>
      <c r="K2120" s="870"/>
      <c r="L2120" s="870"/>
      <c r="M2120" s="870"/>
      <c r="N2120" s="870"/>
      <c r="O2120" s="870"/>
      <c r="P2120" s="870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73"/>
      <c r="E2121" s="677"/>
      <c r="F2121" s="677"/>
      <c r="G2121" s="677"/>
      <c r="H2121" s="872"/>
      <c r="I2121" s="871"/>
      <c r="J2121" s="871"/>
      <c r="K2121" s="870"/>
      <c r="L2121" s="870"/>
      <c r="M2121" s="870"/>
      <c r="N2121" s="870"/>
      <c r="O2121" s="870"/>
      <c r="P2121" s="870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73"/>
      <c r="E2122" s="677"/>
      <c r="F2122" s="677"/>
      <c r="G2122" s="677"/>
      <c r="H2122" s="872"/>
      <c r="I2122" s="871"/>
      <c r="J2122" s="871"/>
      <c r="K2122" s="870"/>
      <c r="L2122" s="870"/>
      <c r="M2122" s="870"/>
      <c r="N2122" s="870"/>
      <c r="O2122" s="870"/>
      <c r="P2122" s="870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73"/>
      <c r="E2123" s="677"/>
      <c r="F2123" s="677"/>
      <c r="G2123" s="677"/>
      <c r="H2123" s="872"/>
      <c r="I2123" s="871"/>
      <c r="J2123" s="871"/>
      <c r="K2123" s="870"/>
      <c r="L2123" s="870"/>
      <c r="M2123" s="870"/>
      <c r="N2123" s="870"/>
      <c r="O2123" s="870"/>
      <c r="P2123" s="870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73"/>
      <c r="E2124" s="677"/>
      <c r="F2124" s="677"/>
      <c r="G2124" s="677"/>
      <c r="H2124" s="872"/>
      <c r="I2124" s="871"/>
      <c r="J2124" s="871"/>
      <c r="K2124" s="870"/>
      <c r="L2124" s="870"/>
      <c r="M2124" s="870"/>
      <c r="N2124" s="870"/>
      <c r="O2124" s="870"/>
      <c r="P2124" s="870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73"/>
      <c r="E2125" s="677"/>
      <c r="F2125" s="677"/>
      <c r="G2125" s="677"/>
      <c r="H2125" s="872"/>
      <c r="I2125" s="871"/>
      <c r="J2125" s="871"/>
      <c r="K2125" s="870"/>
      <c r="L2125" s="870"/>
      <c r="M2125" s="870"/>
      <c r="N2125" s="870"/>
      <c r="O2125" s="870"/>
      <c r="P2125" s="870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73"/>
      <c r="E2126" s="677"/>
      <c r="F2126" s="677"/>
      <c r="G2126" s="677"/>
      <c r="H2126" s="872"/>
      <c r="I2126" s="871"/>
      <c r="J2126" s="871"/>
      <c r="K2126" s="870"/>
      <c r="L2126" s="870"/>
      <c r="M2126" s="870"/>
      <c r="N2126" s="870"/>
      <c r="O2126" s="870"/>
      <c r="P2126" s="870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73"/>
      <c r="E2127" s="677"/>
      <c r="F2127" s="677"/>
      <c r="G2127" s="677"/>
      <c r="H2127" s="872"/>
      <c r="I2127" s="871"/>
      <c r="J2127" s="871"/>
      <c r="K2127" s="870"/>
      <c r="L2127" s="870"/>
      <c r="M2127" s="870"/>
      <c r="N2127" s="870"/>
      <c r="O2127" s="870"/>
      <c r="P2127" s="870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73"/>
      <c r="E2128" s="677"/>
      <c r="F2128" s="677"/>
      <c r="G2128" s="677"/>
      <c r="H2128" s="872"/>
      <c r="I2128" s="871"/>
      <c r="J2128" s="871"/>
      <c r="K2128" s="870"/>
      <c r="L2128" s="870"/>
      <c r="M2128" s="870"/>
      <c r="N2128" s="870"/>
      <c r="O2128" s="870"/>
      <c r="P2128" s="870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73"/>
      <c r="E2129" s="677"/>
      <c r="F2129" s="677"/>
      <c r="G2129" s="677"/>
      <c r="H2129" s="872"/>
      <c r="I2129" s="871"/>
      <c r="J2129" s="871"/>
      <c r="K2129" s="870"/>
      <c r="L2129" s="870"/>
      <c r="M2129" s="870"/>
      <c r="N2129" s="870"/>
      <c r="O2129" s="870"/>
      <c r="P2129" s="870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73"/>
      <c r="E2130" s="677"/>
      <c r="F2130" s="677"/>
      <c r="G2130" s="677"/>
      <c r="H2130" s="872"/>
      <c r="I2130" s="871"/>
      <c r="J2130" s="871"/>
      <c r="K2130" s="870"/>
      <c r="L2130" s="870"/>
      <c r="M2130" s="870"/>
      <c r="N2130" s="870"/>
      <c r="O2130" s="870"/>
      <c r="P2130" s="870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73"/>
      <c r="E2131" s="677"/>
      <c r="F2131" s="677"/>
      <c r="G2131" s="677"/>
      <c r="H2131" s="872"/>
      <c r="I2131" s="871"/>
      <c r="J2131" s="871"/>
      <c r="K2131" s="870"/>
      <c r="L2131" s="870"/>
      <c r="M2131" s="870"/>
      <c r="N2131" s="870"/>
      <c r="O2131" s="870"/>
      <c r="P2131" s="870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73"/>
      <c r="E2132" s="677"/>
      <c r="F2132" s="677"/>
      <c r="G2132" s="677"/>
      <c r="H2132" s="872"/>
      <c r="I2132" s="871"/>
      <c r="J2132" s="871"/>
      <c r="K2132" s="870"/>
      <c r="L2132" s="870"/>
      <c r="M2132" s="870"/>
      <c r="N2132" s="870"/>
      <c r="O2132" s="870"/>
      <c r="P2132" s="870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73"/>
      <c r="E2133" s="677"/>
      <c r="F2133" s="677"/>
      <c r="G2133" s="677"/>
      <c r="H2133" s="872"/>
      <c r="I2133" s="871"/>
      <c r="J2133" s="871"/>
      <c r="K2133" s="870"/>
      <c r="L2133" s="870"/>
      <c r="M2133" s="870"/>
      <c r="N2133" s="870"/>
      <c r="O2133" s="870"/>
      <c r="P2133" s="870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73"/>
      <c r="E2134" s="677"/>
      <c r="F2134" s="677"/>
      <c r="G2134" s="677"/>
      <c r="H2134" s="872"/>
      <c r="I2134" s="871"/>
      <c r="J2134" s="871"/>
      <c r="K2134" s="870"/>
      <c r="L2134" s="870"/>
      <c r="M2134" s="870"/>
      <c r="N2134" s="870"/>
      <c r="O2134" s="870"/>
      <c r="P2134" s="870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73"/>
      <c r="E2135" s="677"/>
      <c r="F2135" s="677"/>
      <c r="G2135" s="677"/>
      <c r="H2135" s="872"/>
      <c r="I2135" s="871"/>
      <c r="J2135" s="871"/>
      <c r="K2135" s="870"/>
      <c r="L2135" s="870"/>
      <c r="M2135" s="870"/>
      <c r="N2135" s="870"/>
      <c r="O2135" s="870"/>
      <c r="P2135" s="870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73"/>
      <c r="E2136" s="677"/>
      <c r="F2136" s="677"/>
      <c r="G2136" s="677"/>
      <c r="H2136" s="872"/>
      <c r="I2136" s="871"/>
      <c r="J2136" s="871"/>
      <c r="K2136" s="870"/>
      <c r="L2136" s="870"/>
      <c r="M2136" s="870"/>
      <c r="N2136" s="870"/>
      <c r="O2136" s="870"/>
      <c r="P2136" s="870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73"/>
      <c r="E2137" s="677"/>
      <c r="F2137" s="677"/>
      <c r="G2137" s="677"/>
      <c r="H2137" s="872"/>
      <c r="I2137" s="871"/>
      <c r="J2137" s="871"/>
      <c r="K2137" s="870"/>
      <c r="L2137" s="870"/>
      <c r="M2137" s="870"/>
      <c r="N2137" s="870"/>
      <c r="O2137" s="870"/>
      <c r="P2137" s="870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73"/>
      <c r="E2138" s="677"/>
      <c r="F2138" s="677"/>
      <c r="G2138" s="677"/>
      <c r="H2138" s="872"/>
      <c r="I2138" s="871"/>
      <c r="J2138" s="871"/>
      <c r="K2138" s="870"/>
      <c r="L2138" s="870"/>
      <c r="M2138" s="870"/>
      <c r="N2138" s="870"/>
      <c r="O2138" s="870"/>
      <c r="P2138" s="870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73"/>
      <c r="E2139" s="677"/>
      <c r="F2139" s="677"/>
      <c r="G2139" s="677"/>
      <c r="H2139" s="872"/>
      <c r="I2139" s="871"/>
      <c r="J2139" s="871"/>
      <c r="K2139" s="870"/>
      <c r="L2139" s="870"/>
      <c r="M2139" s="870"/>
      <c r="N2139" s="870"/>
      <c r="O2139" s="870"/>
      <c r="P2139" s="870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73"/>
      <c r="E2140" s="677"/>
      <c r="F2140" s="677"/>
      <c r="G2140" s="677"/>
      <c r="H2140" s="872"/>
      <c r="I2140" s="871"/>
      <c r="J2140" s="871"/>
      <c r="K2140" s="870"/>
      <c r="L2140" s="870"/>
      <c r="M2140" s="870"/>
      <c r="N2140" s="870"/>
      <c r="O2140" s="870"/>
      <c r="P2140" s="870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73"/>
      <c r="E2141" s="677"/>
      <c r="F2141" s="677"/>
      <c r="G2141" s="677"/>
      <c r="H2141" s="872"/>
      <c r="I2141" s="871"/>
      <c r="J2141" s="871"/>
      <c r="K2141" s="870"/>
      <c r="L2141" s="870"/>
      <c r="M2141" s="870"/>
      <c r="N2141" s="870"/>
      <c r="O2141" s="870"/>
      <c r="P2141" s="870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73"/>
      <c r="E2142" s="677"/>
      <c r="F2142" s="677"/>
      <c r="G2142" s="677"/>
      <c r="H2142" s="872"/>
      <c r="I2142" s="871"/>
      <c r="J2142" s="871"/>
      <c r="K2142" s="870"/>
      <c r="L2142" s="870"/>
      <c r="M2142" s="870"/>
      <c r="N2142" s="870"/>
      <c r="O2142" s="870"/>
      <c r="P2142" s="870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73"/>
      <c r="E2143" s="677"/>
      <c r="F2143" s="677"/>
      <c r="G2143" s="677"/>
      <c r="H2143" s="872"/>
      <c r="I2143" s="871"/>
      <c r="J2143" s="871"/>
      <c r="K2143" s="870"/>
      <c r="L2143" s="870"/>
      <c r="M2143" s="870"/>
      <c r="N2143" s="870"/>
      <c r="O2143" s="870"/>
      <c r="P2143" s="870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73"/>
      <c r="E2144" s="677"/>
      <c r="F2144" s="677"/>
      <c r="G2144" s="677"/>
      <c r="H2144" s="872"/>
      <c r="I2144" s="871"/>
      <c r="J2144" s="871"/>
      <c r="K2144" s="870"/>
      <c r="L2144" s="870"/>
      <c r="M2144" s="870"/>
      <c r="N2144" s="870"/>
      <c r="O2144" s="870"/>
      <c r="P2144" s="870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73"/>
      <c r="E2145" s="677"/>
      <c r="F2145" s="677"/>
      <c r="G2145" s="677"/>
      <c r="H2145" s="872"/>
      <c r="I2145" s="871"/>
      <c r="J2145" s="871"/>
      <c r="K2145" s="870"/>
      <c r="L2145" s="870"/>
      <c r="M2145" s="870"/>
      <c r="N2145" s="870"/>
      <c r="O2145" s="870"/>
      <c r="P2145" s="870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73"/>
      <c r="E2146" s="677"/>
      <c r="F2146" s="677"/>
      <c r="G2146" s="677"/>
      <c r="H2146" s="872"/>
      <c r="I2146" s="871"/>
      <c r="J2146" s="871"/>
      <c r="K2146" s="870"/>
      <c r="L2146" s="870"/>
      <c r="M2146" s="870"/>
      <c r="N2146" s="870"/>
      <c r="O2146" s="870"/>
      <c r="P2146" s="870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73"/>
      <c r="E2147" s="677"/>
      <c r="F2147" s="677"/>
      <c r="G2147" s="677"/>
      <c r="H2147" s="872"/>
      <c r="I2147" s="871"/>
      <c r="J2147" s="871"/>
      <c r="K2147" s="870"/>
      <c r="L2147" s="870"/>
      <c r="M2147" s="870"/>
      <c r="N2147" s="870"/>
      <c r="O2147" s="870"/>
      <c r="P2147" s="870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73"/>
      <c r="E2148" s="677"/>
      <c r="F2148" s="677"/>
      <c r="G2148" s="677"/>
      <c r="H2148" s="872"/>
      <c r="I2148" s="871"/>
      <c r="J2148" s="871"/>
      <c r="K2148" s="870"/>
      <c r="L2148" s="870"/>
      <c r="M2148" s="870"/>
      <c r="N2148" s="870"/>
      <c r="O2148" s="870"/>
      <c r="P2148" s="870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73"/>
      <c r="E2149" s="677"/>
      <c r="F2149" s="677"/>
      <c r="G2149" s="677"/>
      <c r="H2149" s="872"/>
      <c r="I2149" s="871"/>
      <c r="J2149" s="871"/>
      <c r="K2149" s="870"/>
      <c r="L2149" s="870"/>
      <c r="M2149" s="870"/>
      <c r="N2149" s="870"/>
      <c r="O2149" s="870"/>
      <c r="P2149" s="870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73"/>
      <c r="E2150" s="677"/>
      <c r="F2150" s="677"/>
      <c r="G2150" s="677"/>
      <c r="H2150" s="872"/>
      <c r="I2150" s="871"/>
      <c r="J2150" s="871"/>
      <c r="K2150" s="870"/>
      <c r="L2150" s="870"/>
      <c r="M2150" s="870"/>
      <c r="N2150" s="870"/>
      <c r="O2150" s="870"/>
      <c r="P2150" s="870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73"/>
      <c r="E2151" s="677"/>
      <c r="F2151" s="677"/>
      <c r="G2151" s="677"/>
      <c r="H2151" s="872"/>
      <c r="I2151" s="871"/>
      <c r="J2151" s="871"/>
      <c r="K2151" s="870"/>
      <c r="L2151" s="870"/>
      <c r="M2151" s="870"/>
      <c r="N2151" s="870"/>
      <c r="O2151" s="870"/>
      <c r="P2151" s="870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73"/>
      <c r="E2152" s="677"/>
      <c r="F2152" s="677"/>
      <c r="G2152" s="677"/>
      <c r="H2152" s="872"/>
      <c r="I2152" s="871"/>
      <c r="J2152" s="871"/>
      <c r="K2152" s="870"/>
      <c r="L2152" s="870"/>
      <c r="M2152" s="870"/>
      <c r="N2152" s="870"/>
      <c r="O2152" s="870"/>
      <c r="P2152" s="870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73"/>
      <c r="E2153" s="677"/>
      <c r="F2153" s="677"/>
      <c r="G2153" s="677"/>
      <c r="H2153" s="872"/>
      <c r="I2153" s="871"/>
      <c r="J2153" s="871"/>
      <c r="K2153" s="870"/>
      <c r="L2153" s="870"/>
      <c r="M2153" s="870"/>
      <c r="N2153" s="870"/>
      <c r="O2153" s="870"/>
      <c r="P2153" s="870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73"/>
      <c r="E2154" s="677"/>
      <c r="F2154" s="677"/>
      <c r="G2154" s="677"/>
      <c r="H2154" s="872"/>
      <c r="I2154" s="871"/>
      <c r="J2154" s="871"/>
      <c r="K2154" s="870"/>
      <c r="L2154" s="870"/>
      <c r="M2154" s="870"/>
      <c r="N2154" s="870"/>
      <c r="O2154" s="870"/>
      <c r="P2154" s="870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73"/>
      <c r="E2155" s="677"/>
      <c r="F2155" s="677"/>
      <c r="G2155" s="677"/>
      <c r="H2155" s="872"/>
      <c r="I2155" s="871"/>
      <c r="J2155" s="871"/>
      <c r="K2155" s="870"/>
      <c r="L2155" s="870"/>
      <c r="M2155" s="870"/>
      <c r="N2155" s="870"/>
      <c r="O2155" s="870"/>
      <c r="P2155" s="870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73"/>
      <c r="E2156" s="677"/>
      <c r="F2156" s="677"/>
      <c r="G2156" s="677"/>
      <c r="H2156" s="872"/>
      <c r="I2156" s="871"/>
      <c r="J2156" s="871"/>
      <c r="K2156" s="870"/>
      <c r="L2156" s="870"/>
      <c r="M2156" s="870"/>
      <c r="N2156" s="870"/>
      <c r="O2156" s="870"/>
      <c r="P2156" s="870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73"/>
      <c r="E2157" s="677"/>
      <c r="F2157" s="677"/>
      <c r="G2157" s="677"/>
      <c r="H2157" s="872"/>
      <c r="I2157" s="871"/>
      <c r="J2157" s="871"/>
      <c r="K2157" s="870"/>
      <c r="L2157" s="870"/>
      <c r="M2157" s="870"/>
      <c r="N2157" s="870"/>
      <c r="O2157" s="870"/>
      <c r="P2157" s="870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73"/>
      <c r="E2158" s="677"/>
      <c r="F2158" s="677"/>
      <c r="G2158" s="677"/>
      <c r="H2158" s="872"/>
      <c r="I2158" s="871"/>
      <c r="J2158" s="871"/>
      <c r="K2158" s="870"/>
      <c r="L2158" s="870"/>
      <c r="M2158" s="870"/>
      <c r="N2158" s="870"/>
      <c r="O2158" s="870"/>
      <c r="P2158" s="870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73"/>
      <c r="E2159" s="677"/>
      <c r="F2159" s="677"/>
      <c r="G2159" s="677"/>
      <c r="H2159" s="872"/>
      <c r="I2159" s="871"/>
      <c r="J2159" s="871"/>
      <c r="K2159" s="870"/>
      <c r="L2159" s="870"/>
      <c r="M2159" s="870"/>
      <c r="N2159" s="870"/>
      <c r="O2159" s="870"/>
      <c r="P2159" s="870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73"/>
      <c r="E2160" s="677"/>
      <c r="F2160" s="677"/>
      <c r="G2160" s="677"/>
      <c r="H2160" s="872"/>
      <c r="I2160" s="871"/>
      <c r="J2160" s="871"/>
      <c r="K2160" s="870"/>
      <c r="L2160" s="870"/>
      <c r="M2160" s="870"/>
      <c r="N2160" s="870"/>
      <c r="O2160" s="870"/>
      <c r="P2160" s="870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73"/>
      <c r="E2161" s="677"/>
      <c r="F2161" s="677"/>
      <c r="G2161" s="677"/>
      <c r="H2161" s="872"/>
      <c r="I2161" s="871"/>
      <c r="J2161" s="871"/>
      <c r="K2161" s="870"/>
      <c r="L2161" s="870"/>
      <c r="M2161" s="870"/>
      <c r="N2161" s="870"/>
      <c r="O2161" s="870"/>
      <c r="P2161" s="870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73"/>
      <c r="E2162" s="677"/>
      <c r="F2162" s="677"/>
      <c r="G2162" s="677"/>
      <c r="H2162" s="872"/>
      <c r="I2162" s="871"/>
      <c r="J2162" s="871"/>
      <c r="K2162" s="870"/>
      <c r="L2162" s="870"/>
      <c r="M2162" s="870"/>
      <c r="N2162" s="870"/>
      <c r="O2162" s="870"/>
      <c r="P2162" s="870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73"/>
      <c r="E2163" s="677"/>
      <c r="F2163" s="677"/>
      <c r="G2163" s="677"/>
      <c r="H2163" s="872"/>
      <c r="I2163" s="871"/>
      <c r="J2163" s="871"/>
      <c r="K2163" s="870"/>
      <c r="L2163" s="870"/>
      <c r="M2163" s="870"/>
      <c r="N2163" s="870"/>
      <c r="O2163" s="870"/>
      <c r="P2163" s="870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73"/>
      <c r="E2164" s="677"/>
      <c r="F2164" s="677"/>
      <c r="G2164" s="677"/>
      <c r="H2164" s="872"/>
      <c r="I2164" s="871"/>
      <c r="J2164" s="871"/>
      <c r="K2164" s="870"/>
      <c r="L2164" s="870"/>
      <c r="M2164" s="870"/>
      <c r="N2164" s="870"/>
      <c r="O2164" s="870"/>
      <c r="P2164" s="870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73"/>
      <c r="E2165" s="677"/>
      <c r="F2165" s="677"/>
      <c r="G2165" s="677"/>
      <c r="H2165" s="872"/>
      <c r="I2165" s="871"/>
      <c r="J2165" s="871"/>
      <c r="K2165" s="870"/>
      <c r="L2165" s="870"/>
      <c r="M2165" s="870"/>
      <c r="N2165" s="870"/>
      <c r="O2165" s="870"/>
      <c r="P2165" s="870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73"/>
      <c r="E2166" s="677"/>
      <c r="F2166" s="677"/>
      <c r="G2166" s="677"/>
      <c r="H2166" s="872"/>
      <c r="I2166" s="871"/>
      <c r="J2166" s="871"/>
      <c r="K2166" s="870"/>
      <c r="L2166" s="870"/>
      <c r="M2166" s="870"/>
      <c r="N2166" s="870"/>
      <c r="O2166" s="870"/>
      <c r="P2166" s="870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73"/>
      <c r="E2167" s="677"/>
      <c r="F2167" s="677"/>
      <c r="G2167" s="677"/>
      <c r="H2167" s="872"/>
      <c r="I2167" s="871"/>
      <c r="J2167" s="871"/>
      <c r="K2167" s="870"/>
      <c r="L2167" s="870"/>
      <c r="M2167" s="870"/>
      <c r="N2167" s="870"/>
      <c r="O2167" s="870"/>
      <c r="P2167" s="870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73"/>
      <c r="E2168" s="677"/>
      <c r="F2168" s="677"/>
      <c r="G2168" s="677"/>
      <c r="H2168" s="872"/>
      <c r="I2168" s="871"/>
      <c r="J2168" s="871"/>
      <c r="K2168" s="870"/>
      <c r="L2168" s="870"/>
      <c r="M2168" s="870"/>
      <c r="N2168" s="870"/>
      <c r="O2168" s="870"/>
      <c r="P2168" s="870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73"/>
      <c r="E2169" s="677"/>
      <c r="F2169" s="677"/>
      <c r="G2169" s="677"/>
      <c r="H2169" s="872"/>
      <c r="I2169" s="871"/>
      <c r="J2169" s="871"/>
      <c r="K2169" s="870"/>
      <c r="L2169" s="870"/>
      <c r="M2169" s="870"/>
      <c r="N2169" s="870"/>
      <c r="O2169" s="870"/>
      <c r="P2169" s="870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73"/>
      <c r="E2170" s="677"/>
      <c r="F2170" s="677"/>
      <c r="G2170" s="677"/>
      <c r="H2170" s="872"/>
      <c r="I2170" s="871"/>
      <c r="J2170" s="871"/>
      <c r="K2170" s="870"/>
      <c r="L2170" s="870"/>
      <c r="M2170" s="870"/>
      <c r="N2170" s="870"/>
      <c r="O2170" s="870"/>
      <c r="P2170" s="870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73"/>
      <c r="E2171" s="677"/>
      <c r="F2171" s="677"/>
      <c r="G2171" s="677"/>
      <c r="H2171" s="872"/>
      <c r="I2171" s="871"/>
      <c r="J2171" s="871"/>
      <c r="K2171" s="870"/>
      <c r="L2171" s="870"/>
      <c r="M2171" s="870"/>
      <c r="N2171" s="870"/>
      <c r="O2171" s="870"/>
      <c r="P2171" s="870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73"/>
      <c r="E2172" s="677"/>
      <c r="F2172" s="677"/>
      <c r="G2172" s="677"/>
      <c r="H2172" s="872"/>
      <c r="I2172" s="871"/>
      <c r="J2172" s="871"/>
      <c r="K2172" s="870"/>
      <c r="L2172" s="870"/>
      <c r="M2172" s="870"/>
      <c r="N2172" s="870"/>
      <c r="O2172" s="870"/>
      <c r="P2172" s="870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73"/>
      <c r="E2173" s="677"/>
      <c r="F2173" s="677"/>
      <c r="G2173" s="677"/>
      <c r="H2173" s="872"/>
      <c r="I2173" s="871"/>
      <c r="J2173" s="871"/>
      <c r="K2173" s="870"/>
      <c r="L2173" s="870"/>
      <c r="M2173" s="870"/>
      <c r="N2173" s="870"/>
      <c r="O2173" s="870"/>
      <c r="P2173" s="870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73"/>
      <c r="E2174" s="677"/>
      <c r="F2174" s="677"/>
      <c r="G2174" s="677"/>
      <c r="H2174" s="872"/>
      <c r="I2174" s="871"/>
      <c r="J2174" s="871"/>
      <c r="K2174" s="870"/>
      <c r="L2174" s="870"/>
      <c r="M2174" s="870"/>
      <c r="N2174" s="870"/>
      <c r="O2174" s="870"/>
      <c r="P2174" s="870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73"/>
      <c r="E2175" s="677"/>
      <c r="F2175" s="677"/>
      <c r="G2175" s="677"/>
      <c r="H2175" s="872"/>
      <c r="I2175" s="871"/>
      <c r="J2175" s="871"/>
      <c r="K2175" s="870"/>
      <c r="L2175" s="870"/>
      <c r="M2175" s="870"/>
      <c r="N2175" s="870"/>
      <c r="O2175" s="870"/>
      <c r="P2175" s="870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73"/>
      <c r="E2176" s="677"/>
      <c r="F2176" s="677"/>
      <c r="G2176" s="677"/>
      <c r="H2176" s="872"/>
      <c r="I2176" s="871"/>
      <c r="J2176" s="871"/>
      <c r="K2176" s="870"/>
      <c r="L2176" s="870"/>
      <c r="M2176" s="870"/>
      <c r="N2176" s="870"/>
      <c r="O2176" s="870"/>
      <c r="P2176" s="870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73"/>
      <c r="E2177" s="677"/>
      <c r="F2177" s="677"/>
      <c r="G2177" s="677"/>
      <c r="H2177" s="872"/>
      <c r="I2177" s="871"/>
      <c r="J2177" s="871"/>
      <c r="K2177" s="870"/>
      <c r="L2177" s="870"/>
      <c r="M2177" s="870"/>
      <c r="N2177" s="870"/>
      <c r="O2177" s="870"/>
      <c r="P2177" s="870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73"/>
      <c r="E2178" s="677"/>
      <c r="F2178" s="677"/>
      <c r="G2178" s="677"/>
      <c r="H2178" s="872"/>
      <c r="I2178" s="871"/>
      <c r="J2178" s="871"/>
      <c r="K2178" s="870"/>
      <c r="L2178" s="870"/>
      <c r="M2178" s="870"/>
      <c r="N2178" s="870"/>
      <c r="O2178" s="870"/>
      <c r="P2178" s="870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73"/>
      <c r="E2179" s="677"/>
      <c r="F2179" s="677"/>
      <c r="G2179" s="677"/>
      <c r="H2179" s="872"/>
      <c r="I2179" s="871"/>
      <c r="J2179" s="871"/>
      <c r="K2179" s="870"/>
      <c r="L2179" s="870"/>
      <c r="M2179" s="870"/>
      <c r="N2179" s="870"/>
      <c r="O2179" s="870"/>
      <c r="P2179" s="870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73"/>
      <c r="E2180" s="677"/>
      <c r="F2180" s="677"/>
      <c r="G2180" s="677"/>
      <c r="H2180" s="872"/>
      <c r="I2180" s="871"/>
      <c r="J2180" s="871"/>
      <c r="K2180" s="870"/>
      <c r="L2180" s="870"/>
      <c r="M2180" s="870"/>
      <c r="N2180" s="870"/>
      <c r="O2180" s="870"/>
      <c r="P2180" s="870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73"/>
      <c r="E2181" s="677"/>
      <c r="F2181" s="677"/>
      <c r="G2181" s="677"/>
      <c r="H2181" s="872"/>
      <c r="I2181" s="871"/>
      <c r="J2181" s="871"/>
      <c r="K2181" s="870"/>
      <c r="L2181" s="870"/>
      <c r="M2181" s="870"/>
      <c r="N2181" s="870"/>
      <c r="O2181" s="870"/>
      <c r="P2181" s="870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73"/>
      <c r="E2182" s="677"/>
      <c r="F2182" s="677"/>
      <c r="G2182" s="677"/>
      <c r="H2182" s="872"/>
      <c r="I2182" s="871"/>
      <c r="J2182" s="871"/>
      <c r="K2182" s="870"/>
      <c r="L2182" s="870"/>
      <c r="M2182" s="870"/>
      <c r="N2182" s="870"/>
      <c r="O2182" s="870"/>
      <c r="P2182" s="870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73"/>
      <c r="E2183" s="677"/>
      <c r="F2183" s="677"/>
      <c r="G2183" s="677"/>
      <c r="H2183" s="872"/>
      <c r="I2183" s="871"/>
      <c r="J2183" s="871"/>
      <c r="K2183" s="870"/>
      <c r="L2183" s="870"/>
      <c r="M2183" s="870"/>
      <c r="N2183" s="870"/>
      <c r="O2183" s="870"/>
      <c r="P2183" s="870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73"/>
      <c r="E2184" s="677"/>
      <c r="F2184" s="677"/>
      <c r="G2184" s="677"/>
      <c r="H2184" s="872"/>
      <c r="I2184" s="871"/>
      <c r="J2184" s="871"/>
      <c r="K2184" s="870"/>
      <c r="L2184" s="870"/>
      <c r="M2184" s="870"/>
      <c r="N2184" s="870"/>
      <c r="O2184" s="870"/>
      <c r="P2184" s="870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73"/>
      <c r="E2185" s="677"/>
      <c r="F2185" s="677"/>
      <c r="G2185" s="677"/>
      <c r="H2185" s="872"/>
      <c r="I2185" s="871"/>
      <c r="J2185" s="871"/>
      <c r="K2185" s="870"/>
      <c r="L2185" s="870"/>
      <c r="M2185" s="870"/>
      <c r="N2185" s="870"/>
      <c r="O2185" s="870"/>
      <c r="P2185" s="870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73"/>
      <c r="E2186" s="677"/>
      <c r="F2186" s="677"/>
      <c r="G2186" s="677"/>
      <c r="H2186" s="872"/>
      <c r="I2186" s="871"/>
      <c r="J2186" s="871"/>
      <c r="K2186" s="870"/>
      <c r="L2186" s="870"/>
      <c r="M2186" s="870"/>
      <c r="N2186" s="870"/>
      <c r="O2186" s="870"/>
      <c r="P2186" s="870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73"/>
      <c r="E2187" s="677"/>
      <c r="F2187" s="677"/>
      <c r="G2187" s="677"/>
      <c r="H2187" s="872"/>
      <c r="I2187" s="871"/>
      <c r="J2187" s="871"/>
      <c r="K2187" s="870"/>
      <c r="L2187" s="870"/>
      <c r="M2187" s="870"/>
      <c r="N2187" s="870"/>
      <c r="O2187" s="870"/>
      <c r="P2187" s="870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73"/>
      <c r="E2188" s="677"/>
      <c r="F2188" s="677"/>
      <c r="G2188" s="677"/>
      <c r="H2188" s="872"/>
      <c r="I2188" s="871"/>
      <c r="J2188" s="871"/>
      <c r="K2188" s="870"/>
      <c r="L2188" s="870"/>
      <c r="M2188" s="870"/>
      <c r="N2188" s="870"/>
      <c r="O2188" s="870"/>
      <c r="P2188" s="870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73"/>
      <c r="E2189" s="677"/>
      <c r="F2189" s="677"/>
      <c r="G2189" s="677"/>
      <c r="H2189" s="872"/>
      <c r="I2189" s="871"/>
      <c r="J2189" s="871"/>
      <c r="K2189" s="870"/>
      <c r="L2189" s="870"/>
      <c r="M2189" s="870"/>
      <c r="N2189" s="870"/>
      <c r="O2189" s="870"/>
      <c r="P2189" s="870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73"/>
      <c r="E2190" s="677"/>
      <c r="F2190" s="677"/>
      <c r="G2190" s="677"/>
      <c r="H2190" s="872"/>
      <c r="I2190" s="871"/>
      <c r="J2190" s="871"/>
      <c r="K2190" s="870"/>
      <c r="L2190" s="870"/>
      <c r="M2190" s="870"/>
      <c r="N2190" s="870"/>
      <c r="O2190" s="870"/>
      <c r="P2190" s="870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73"/>
      <c r="E2191" s="677"/>
      <c r="F2191" s="677"/>
      <c r="G2191" s="677"/>
      <c r="H2191" s="872"/>
      <c r="I2191" s="871"/>
      <c r="J2191" s="871"/>
      <c r="K2191" s="870"/>
      <c r="L2191" s="870"/>
      <c r="M2191" s="870"/>
      <c r="N2191" s="870"/>
      <c r="O2191" s="870"/>
      <c r="P2191" s="870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73"/>
      <c r="E2192" s="677"/>
      <c r="F2192" s="677"/>
      <c r="G2192" s="677"/>
      <c r="H2192" s="872"/>
      <c r="I2192" s="871"/>
      <c r="J2192" s="871"/>
      <c r="K2192" s="870"/>
      <c r="L2192" s="870"/>
      <c r="M2192" s="870"/>
      <c r="N2192" s="870"/>
      <c r="O2192" s="870"/>
      <c r="P2192" s="870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73"/>
      <c r="E2193" s="677"/>
      <c r="F2193" s="677"/>
      <c r="G2193" s="677"/>
      <c r="H2193" s="872"/>
      <c r="I2193" s="871"/>
      <c r="J2193" s="871"/>
      <c r="K2193" s="870"/>
      <c r="L2193" s="870"/>
      <c r="M2193" s="870"/>
      <c r="N2193" s="870"/>
      <c r="O2193" s="870"/>
      <c r="P2193" s="870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73"/>
      <c r="E2194" s="677"/>
      <c r="F2194" s="677"/>
      <c r="G2194" s="677"/>
      <c r="H2194" s="872"/>
      <c r="I2194" s="871"/>
      <c r="J2194" s="871"/>
      <c r="K2194" s="870"/>
      <c r="L2194" s="870"/>
      <c r="M2194" s="870"/>
      <c r="N2194" s="870"/>
      <c r="O2194" s="870"/>
      <c r="P2194" s="870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73"/>
      <c r="E2195" s="677"/>
      <c r="F2195" s="677"/>
      <c r="G2195" s="677"/>
      <c r="H2195" s="872"/>
      <c r="I2195" s="871"/>
      <c r="J2195" s="871"/>
      <c r="K2195" s="870"/>
      <c r="L2195" s="870"/>
      <c r="M2195" s="870"/>
      <c r="N2195" s="870"/>
      <c r="O2195" s="870"/>
      <c r="P2195" s="870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73"/>
      <c r="E2196" s="677"/>
      <c r="F2196" s="677"/>
      <c r="G2196" s="677"/>
      <c r="H2196" s="872"/>
      <c r="I2196" s="871"/>
      <c r="J2196" s="871"/>
      <c r="K2196" s="870"/>
      <c r="L2196" s="870"/>
      <c r="M2196" s="870"/>
      <c r="N2196" s="870"/>
      <c r="O2196" s="870"/>
      <c r="P2196" s="870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73"/>
      <c r="E2197" s="677"/>
      <c r="F2197" s="677"/>
      <c r="G2197" s="677"/>
      <c r="H2197" s="872"/>
      <c r="I2197" s="871"/>
      <c r="J2197" s="871"/>
      <c r="K2197" s="870"/>
      <c r="L2197" s="870"/>
      <c r="M2197" s="870"/>
      <c r="N2197" s="870"/>
      <c r="O2197" s="870"/>
      <c r="P2197" s="870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73"/>
      <c r="E2198" s="677"/>
      <c r="F2198" s="677"/>
      <c r="G2198" s="677"/>
      <c r="H2198" s="872"/>
      <c r="I2198" s="871"/>
      <c r="J2198" s="871"/>
      <c r="K2198" s="870"/>
      <c r="L2198" s="870"/>
      <c r="M2198" s="870"/>
      <c r="N2198" s="870"/>
      <c r="O2198" s="870"/>
      <c r="P2198" s="870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73"/>
      <c r="E2199" s="677"/>
      <c r="F2199" s="677"/>
      <c r="G2199" s="677"/>
      <c r="H2199" s="872"/>
      <c r="I2199" s="871"/>
      <c r="J2199" s="871"/>
      <c r="K2199" s="870"/>
      <c r="L2199" s="870"/>
      <c r="M2199" s="870"/>
      <c r="N2199" s="870"/>
      <c r="O2199" s="870"/>
      <c r="P2199" s="870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73"/>
      <c r="E2200" s="677"/>
      <c r="F2200" s="677"/>
      <c r="G2200" s="677"/>
      <c r="H2200" s="872"/>
      <c r="I2200" s="871"/>
      <c r="J2200" s="871"/>
      <c r="K2200" s="870"/>
      <c r="L2200" s="870"/>
      <c r="M2200" s="870"/>
      <c r="N2200" s="870"/>
      <c r="O2200" s="870"/>
      <c r="P2200" s="870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73"/>
      <c r="E2201" s="677"/>
      <c r="F2201" s="677"/>
      <c r="G2201" s="677"/>
      <c r="H2201" s="872"/>
      <c r="I2201" s="871"/>
      <c r="J2201" s="871"/>
      <c r="K2201" s="870"/>
      <c r="L2201" s="870"/>
      <c r="M2201" s="870"/>
      <c r="N2201" s="870"/>
      <c r="O2201" s="870"/>
      <c r="P2201" s="870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73"/>
      <c r="E2202" s="677"/>
      <c r="F2202" s="677"/>
      <c r="G2202" s="677"/>
      <c r="H2202" s="872"/>
      <c r="I2202" s="871"/>
      <c r="J2202" s="871"/>
      <c r="K2202" s="870"/>
      <c r="L2202" s="870"/>
      <c r="M2202" s="870"/>
      <c r="N2202" s="870"/>
      <c r="O2202" s="870"/>
      <c r="P2202" s="870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73"/>
      <c r="E2203" s="677"/>
      <c r="F2203" s="677"/>
      <c r="G2203" s="677"/>
      <c r="H2203" s="872"/>
      <c r="I2203" s="871"/>
      <c r="J2203" s="871"/>
      <c r="K2203" s="870"/>
      <c r="L2203" s="870"/>
      <c r="M2203" s="870"/>
      <c r="N2203" s="870"/>
      <c r="O2203" s="870"/>
      <c r="P2203" s="870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73"/>
      <c r="E2204" s="677"/>
      <c r="F2204" s="677"/>
      <c r="G2204" s="677"/>
      <c r="H2204" s="872"/>
      <c r="I2204" s="871"/>
      <c r="J2204" s="871"/>
      <c r="K2204" s="870"/>
      <c r="L2204" s="870"/>
      <c r="M2204" s="870"/>
      <c r="N2204" s="870"/>
      <c r="O2204" s="870"/>
      <c r="P2204" s="870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73"/>
      <c r="E2205" s="677"/>
      <c r="F2205" s="677"/>
      <c r="G2205" s="677"/>
      <c r="H2205" s="872"/>
      <c r="I2205" s="871"/>
      <c r="J2205" s="871"/>
      <c r="K2205" s="870"/>
      <c r="L2205" s="870"/>
      <c r="M2205" s="870"/>
      <c r="N2205" s="870"/>
      <c r="O2205" s="870"/>
      <c r="P2205" s="870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73"/>
      <c r="E2206" s="677"/>
      <c r="F2206" s="677"/>
      <c r="G2206" s="677"/>
      <c r="H2206" s="872"/>
      <c r="I2206" s="871"/>
      <c r="J2206" s="871"/>
      <c r="K2206" s="870"/>
      <c r="L2206" s="870"/>
      <c r="M2206" s="870"/>
      <c r="N2206" s="870"/>
      <c r="O2206" s="870"/>
      <c r="P2206" s="870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73"/>
      <c r="E2207" s="677"/>
      <c r="F2207" s="677"/>
      <c r="G2207" s="677"/>
      <c r="H2207" s="872"/>
      <c r="I2207" s="871"/>
      <c r="J2207" s="871"/>
      <c r="K2207" s="870"/>
      <c r="L2207" s="870"/>
      <c r="M2207" s="870"/>
      <c r="N2207" s="870"/>
      <c r="O2207" s="870"/>
      <c r="P2207" s="870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73"/>
      <c r="E2208" s="677"/>
      <c r="F2208" s="677"/>
      <c r="G2208" s="677"/>
      <c r="H2208" s="872"/>
      <c r="I2208" s="871"/>
      <c r="J2208" s="871"/>
      <c r="K2208" s="870"/>
      <c r="L2208" s="870"/>
      <c r="M2208" s="870"/>
      <c r="N2208" s="870"/>
      <c r="O2208" s="870"/>
      <c r="P2208" s="870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73"/>
      <c r="E2209" s="677"/>
      <c r="F2209" s="677"/>
      <c r="G2209" s="677"/>
      <c r="H2209" s="872"/>
      <c r="I2209" s="871"/>
      <c r="J2209" s="871"/>
      <c r="K2209" s="870"/>
      <c r="L2209" s="870"/>
      <c r="M2209" s="870"/>
      <c r="N2209" s="870"/>
      <c r="O2209" s="870"/>
      <c r="P2209" s="870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73"/>
      <c r="E2210" s="677"/>
      <c r="F2210" s="677"/>
      <c r="G2210" s="677"/>
      <c r="H2210" s="872"/>
      <c r="I2210" s="871"/>
      <c r="J2210" s="871"/>
      <c r="K2210" s="870"/>
      <c r="L2210" s="870"/>
      <c r="M2210" s="870"/>
      <c r="N2210" s="870"/>
      <c r="O2210" s="870"/>
      <c r="P2210" s="870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73"/>
      <c r="E2211" s="677"/>
      <c r="F2211" s="677"/>
      <c r="G2211" s="677"/>
      <c r="H2211" s="872"/>
      <c r="I2211" s="871"/>
      <c r="J2211" s="871"/>
      <c r="K2211" s="870"/>
      <c r="L2211" s="870"/>
      <c r="M2211" s="870"/>
      <c r="N2211" s="870"/>
      <c r="O2211" s="870"/>
      <c r="P2211" s="870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73"/>
      <c r="E2212" s="677"/>
      <c r="F2212" s="677"/>
      <c r="G2212" s="677"/>
      <c r="H2212" s="872"/>
      <c r="I2212" s="871"/>
      <c r="J2212" s="871"/>
      <c r="K2212" s="870"/>
      <c r="L2212" s="870"/>
      <c r="M2212" s="870"/>
      <c r="N2212" s="870"/>
      <c r="O2212" s="870"/>
      <c r="P2212" s="870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73"/>
      <c r="E2213" s="677"/>
      <c r="F2213" s="677"/>
      <c r="G2213" s="677"/>
      <c r="H2213" s="872"/>
      <c r="I2213" s="871"/>
      <c r="J2213" s="871"/>
      <c r="K2213" s="870"/>
      <c r="L2213" s="870"/>
      <c r="M2213" s="870"/>
      <c r="N2213" s="870"/>
      <c r="O2213" s="870"/>
      <c r="P2213" s="870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73"/>
      <c r="E2214" s="677"/>
      <c r="F2214" s="677"/>
      <c r="G2214" s="677"/>
      <c r="H2214" s="872"/>
      <c r="I2214" s="871"/>
      <c r="J2214" s="871"/>
      <c r="K2214" s="870"/>
      <c r="L2214" s="870"/>
      <c r="M2214" s="870"/>
      <c r="N2214" s="870"/>
      <c r="O2214" s="870"/>
      <c r="P2214" s="870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73"/>
      <c r="E2215" s="677"/>
      <c r="F2215" s="677"/>
      <c r="G2215" s="677"/>
      <c r="H2215" s="872"/>
      <c r="I2215" s="871"/>
      <c r="J2215" s="871"/>
      <c r="K2215" s="870"/>
      <c r="L2215" s="870"/>
      <c r="M2215" s="870"/>
      <c r="N2215" s="870"/>
      <c r="O2215" s="870"/>
      <c r="P2215" s="870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73"/>
      <c r="E2216" s="677"/>
      <c r="F2216" s="677"/>
      <c r="G2216" s="677"/>
      <c r="H2216" s="872"/>
      <c r="I2216" s="871"/>
      <c r="J2216" s="871"/>
      <c r="K2216" s="870"/>
      <c r="L2216" s="870"/>
      <c r="M2216" s="870"/>
      <c r="N2216" s="870"/>
      <c r="O2216" s="870"/>
      <c r="P2216" s="870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73"/>
      <c r="E2217" s="677"/>
      <c r="F2217" s="677"/>
      <c r="G2217" s="677"/>
      <c r="H2217" s="872"/>
      <c r="I2217" s="871"/>
      <c r="J2217" s="871"/>
      <c r="K2217" s="870"/>
      <c r="L2217" s="870"/>
      <c r="M2217" s="870"/>
      <c r="N2217" s="870"/>
      <c r="O2217" s="870"/>
      <c r="P2217" s="870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73"/>
      <c r="E2218" s="677"/>
      <c r="F2218" s="677"/>
      <c r="G2218" s="677"/>
      <c r="H2218" s="872"/>
      <c r="I2218" s="871"/>
      <c r="J2218" s="871"/>
      <c r="K2218" s="870"/>
      <c r="L2218" s="870"/>
      <c r="M2218" s="870"/>
      <c r="N2218" s="870"/>
      <c r="O2218" s="870"/>
      <c r="P2218" s="870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73"/>
      <c r="E2219" s="677"/>
      <c r="F2219" s="677"/>
      <c r="G2219" s="677"/>
      <c r="H2219" s="872"/>
      <c r="I2219" s="871"/>
      <c r="J2219" s="871"/>
      <c r="K2219" s="870"/>
      <c r="L2219" s="870"/>
      <c r="M2219" s="870"/>
      <c r="N2219" s="870"/>
      <c r="O2219" s="870"/>
      <c r="P2219" s="870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73"/>
      <c r="E2220" s="677"/>
      <c r="F2220" s="677"/>
      <c r="G2220" s="677"/>
      <c r="H2220" s="872"/>
      <c r="I2220" s="871"/>
      <c r="J2220" s="871"/>
      <c r="K2220" s="870"/>
      <c r="L2220" s="870"/>
      <c r="M2220" s="870"/>
      <c r="N2220" s="870"/>
      <c r="O2220" s="870"/>
      <c r="P2220" s="870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73"/>
      <c r="E2221" s="677"/>
      <c r="F2221" s="677"/>
      <c r="G2221" s="677"/>
      <c r="H2221" s="872"/>
      <c r="I2221" s="871"/>
      <c r="J2221" s="871"/>
      <c r="K2221" s="870"/>
      <c r="L2221" s="870"/>
      <c r="M2221" s="870"/>
      <c r="N2221" s="870"/>
      <c r="O2221" s="870"/>
      <c r="P2221" s="870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73"/>
      <c r="E2222" s="677"/>
      <c r="F2222" s="677"/>
      <c r="G2222" s="677"/>
      <c r="H2222" s="872"/>
      <c r="I2222" s="871"/>
      <c r="J2222" s="871"/>
      <c r="K2222" s="870"/>
      <c r="L2222" s="870"/>
      <c r="M2222" s="870"/>
      <c r="N2222" s="870"/>
      <c r="O2222" s="870"/>
      <c r="P2222" s="870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73"/>
      <c r="E2223" s="677"/>
      <c r="F2223" s="677"/>
      <c r="G2223" s="677"/>
      <c r="H2223" s="872"/>
      <c r="I2223" s="871"/>
      <c r="J2223" s="871"/>
      <c r="K2223" s="870"/>
      <c r="L2223" s="870"/>
      <c r="M2223" s="870"/>
      <c r="N2223" s="870"/>
      <c r="O2223" s="870"/>
      <c r="P2223" s="870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73"/>
      <c r="E2224" s="677"/>
      <c r="F2224" s="677"/>
      <c r="G2224" s="677"/>
      <c r="H2224" s="872"/>
      <c r="I2224" s="871"/>
      <c r="J2224" s="871"/>
      <c r="K2224" s="870"/>
      <c r="L2224" s="870"/>
      <c r="M2224" s="870"/>
      <c r="N2224" s="870"/>
      <c r="O2224" s="870"/>
      <c r="P2224" s="870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73"/>
      <c r="E2225" s="677"/>
      <c r="F2225" s="677"/>
      <c r="G2225" s="677"/>
      <c r="H2225" s="872"/>
      <c r="I2225" s="871"/>
      <c r="J2225" s="871"/>
      <c r="K2225" s="870"/>
      <c r="L2225" s="870"/>
      <c r="M2225" s="870"/>
      <c r="N2225" s="870"/>
      <c r="O2225" s="870"/>
      <c r="P2225" s="870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73"/>
      <c r="E2226" s="677"/>
      <c r="F2226" s="677"/>
      <c r="G2226" s="677"/>
      <c r="H2226" s="872"/>
      <c r="I2226" s="871"/>
      <c r="J2226" s="871"/>
      <c r="K2226" s="870"/>
      <c r="L2226" s="870"/>
      <c r="M2226" s="870"/>
      <c r="N2226" s="870"/>
      <c r="O2226" s="870"/>
      <c r="P2226" s="870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73"/>
      <c r="E2227" s="677"/>
      <c r="F2227" s="677"/>
      <c r="G2227" s="677"/>
      <c r="H2227" s="872"/>
      <c r="I2227" s="871"/>
      <c r="J2227" s="871"/>
      <c r="K2227" s="870"/>
      <c r="L2227" s="870"/>
      <c r="M2227" s="870"/>
      <c r="N2227" s="870"/>
      <c r="O2227" s="870"/>
      <c r="P2227" s="870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73"/>
      <c r="E2228" s="677"/>
      <c r="F2228" s="677"/>
      <c r="G2228" s="677"/>
      <c r="H2228" s="872"/>
      <c r="I2228" s="871"/>
      <c r="J2228" s="871"/>
      <c r="K2228" s="870"/>
      <c r="L2228" s="870"/>
      <c r="M2228" s="870"/>
      <c r="N2228" s="870"/>
      <c r="O2228" s="870"/>
      <c r="P2228" s="870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73"/>
      <c r="E2229" s="677"/>
      <c r="F2229" s="677"/>
      <c r="G2229" s="677"/>
      <c r="H2229" s="872"/>
      <c r="I2229" s="871"/>
      <c r="J2229" s="871"/>
      <c r="K2229" s="870"/>
      <c r="L2229" s="870"/>
      <c r="M2229" s="870"/>
      <c r="N2229" s="870"/>
      <c r="O2229" s="870"/>
      <c r="P2229" s="870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73"/>
      <c r="E2230" s="677"/>
      <c r="F2230" s="677"/>
      <c r="G2230" s="677"/>
      <c r="H2230" s="872"/>
      <c r="I2230" s="871"/>
      <c r="J2230" s="871"/>
      <c r="K2230" s="870"/>
      <c r="L2230" s="870"/>
      <c r="M2230" s="870"/>
      <c r="N2230" s="870"/>
      <c r="O2230" s="870"/>
      <c r="P2230" s="870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73"/>
      <c r="E2231" s="677"/>
      <c r="F2231" s="677"/>
      <c r="G2231" s="677"/>
      <c r="H2231" s="872"/>
      <c r="I2231" s="871"/>
      <c r="J2231" s="871"/>
      <c r="K2231" s="870"/>
      <c r="L2231" s="870"/>
      <c r="M2231" s="870"/>
      <c r="N2231" s="870"/>
      <c r="O2231" s="870"/>
      <c r="P2231" s="870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73"/>
      <c r="E2232" s="677"/>
      <c r="F2232" s="677"/>
      <c r="G2232" s="677"/>
      <c r="H2232" s="872"/>
      <c r="I2232" s="871"/>
      <c r="J2232" s="871"/>
      <c r="K2232" s="870"/>
      <c r="L2232" s="870"/>
      <c r="M2232" s="870"/>
      <c r="N2232" s="870"/>
      <c r="O2232" s="870"/>
      <c r="P2232" s="870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73"/>
      <c r="E2233" s="677"/>
      <c r="F2233" s="677"/>
      <c r="G2233" s="677"/>
      <c r="H2233" s="872"/>
      <c r="I2233" s="871"/>
      <c r="J2233" s="871"/>
      <c r="K2233" s="870"/>
      <c r="L2233" s="870"/>
      <c r="M2233" s="870"/>
      <c r="N2233" s="870"/>
      <c r="O2233" s="870"/>
      <c r="P2233" s="870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73"/>
      <c r="E2234" s="677"/>
      <c r="F2234" s="677"/>
      <c r="G2234" s="677"/>
      <c r="H2234" s="872"/>
      <c r="I2234" s="871"/>
      <c r="J2234" s="871"/>
      <c r="K2234" s="870"/>
      <c r="L2234" s="870"/>
      <c r="M2234" s="870"/>
      <c r="N2234" s="870"/>
      <c r="O2234" s="870"/>
      <c r="P2234" s="870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73"/>
      <c r="E2235" s="677"/>
      <c r="F2235" s="677"/>
      <c r="G2235" s="677"/>
      <c r="H2235" s="872"/>
      <c r="I2235" s="871"/>
      <c r="J2235" s="871"/>
      <c r="K2235" s="870"/>
      <c r="L2235" s="870"/>
      <c r="M2235" s="870"/>
      <c r="N2235" s="870"/>
      <c r="O2235" s="870"/>
      <c r="P2235" s="870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73"/>
      <c r="E2236" s="677"/>
      <c r="F2236" s="677"/>
      <c r="G2236" s="677"/>
      <c r="H2236" s="872"/>
      <c r="I2236" s="871"/>
      <c r="J2236" s="871"/>
      <c r="K2236" s="870"/>
      <c r="L2236" s="870"/>
      <c r="M2236" s="870"/>
      <c r="N2236" s="870"/>
      <c r="O2236" s="870"/>
      <c r="P2236" s="870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73"/>
      <c r="E2237" s="677"/>
      <c r="F2237" s="677"/>
      <c r="G2237" s="677"/>
      <c r="H2237" s="872"/>
      <c r="I2237" s="871"/>
      <c r="J2237" s="871"/>
      <c r="K2237" s="870"/>
      <c r="L2237" s="870"/>
      <c r="M2237" s="870"/>
      <c r="N2237" s="870"/>
      <c r="O2237" s="870"/>
      <c r="P2237" s="870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73"/>
      <c r="E2238" s="677"/>
      <c r="F2238" s="677"/>
      <c r="G2238" s="677"/>
      <c r="H2238" s="872"/>
      <c r="I2238" s="871"/>
      <c r="J2238" s="871"/>
      <c r="K2238" s="870"/>
      <c r="L2238" s="870"/>
      <c r="M2238" s="870"/>
      <c r="N2238" s="870"/>
      <c r="O2238" s="870"/>
      <c r="P2238" s="870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73"/>
      <c r="E2239" s="677"/>
      <c r="F2239" s="677"/>
      <c r="G2239" s="677"/>
      <c r="H2239" s="872"/>
      <c r="I2239" s="871"/>
      <c r="J2239" s="871"/>
      <c r="K2239" s="870"/>
      <c r="L2239" s="870"/>
      <c r="M2239" s="870"/>
      <c r="N2239" s="870"/>
      <c r="O2239" s="870"/>
      <c r="P2239" s="870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73"/>
      <c r="E2240" s="677"/>
      <c r="F2240" s="677"/>
      <c r="G2240" s="677"/>
      <c r="H2240" s="872"/>
      <c r="I2240" s="871"/>
      <c r="J2240" s="871"/>
      <c r="K2240" s="870"/>
      <c r="L2240" s="870"/>
      <c r="M2240" s="870"/>
      <c r="N2240" s="870"/>
      <c r="O2240" s="870"/>
      <c r="P2240" s="870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73"/>
      <c r="E2241" s="677"/>
      <c r="F2241" s="677"/>
      <c r="G2241" s="677"/>
      <c r="H2241" s="872"/>
      <c r="I2241" s="871"/>
      <c r="J2241" s="871"/>
      <c r="K2241" s="870"/>
      <c r="L2241" s="870"/>
      <c r="M2241" s="870"/>
      <c r="N2241" s="870"/>
      <c r="O2241" s="870"/>
      <c r="P2241" s="870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73"/>
      <c r="E2242" s="677"/>
      <c r="F2242" s="677"/>
      <c r="G2242" s="677"/>
      <c r="H2242" s="872"/>
      <c r="I2242" s="871"/>
      <c r="J2242" s="871"/>
      <c r="K2242" s="870"/>
      <c r="L2242" s="870"/>
      <c r="M2242" s="870"/>
      <c r="N2242" s="870"/>
      <c r="O2242" s="870"/>
      <c r="P2242" s="870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73"/>
      <c r="E2243" s="677"/>
      <c r="F2243" s="677"/>
      <c r="G2243" s="677"/>
      <c r="H2243" s="872"/>
      <c r="I2243" s="871"/>
      <c r="J2243" s="871"/>
      <c r="K2243" s="870"/>
      <c r="L2243" s="870"/>
      <c r="M2243" s="870"/>
      <c r="N2243" s="870"/>
      <c r="O2243" s="870"/>
      <c r="P2243" s="870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73"/>
      <c r="E2244" s="677"/>
      <c r="F2244" s="677"/>
      <c r="G2244" s="677"/>
      <c r="H2244" s="872"/>
      <c r="I2244" s="871"/>
      <c r="J2244" s="871"/>
      <c r="K2244" s="870"/>
      <c r="L2244" s="870"/>
      <c r="M2244" s="870"/>
      <c r="N2244" s="870"/>
      <c r="O2244" s="870"/>
      <c r="P2244" s="870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73"/>
      <c r="E2245" s="677"/>
      <c r="F2245" s="677"/>
      <c r="G2245" s="677"/>
      <c r="H2245" s="872"/>
      <c r="I2245" s="871"/>
      <c r="J2245" s="871"/>
      <c r="K2245" s="870"/>
      <c r="L2245" s="870"/>
      <c r="M2245" s="870"/>
      <c r="N2245" s="870"/>
      <c r="O2245" s="870"/>
      <c r="P2245" s="870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73"/>
      <c r="E2246" s="677"/>
      <c r="F2246" s="677"/>
      <c r="G2246" s="677"/>
      <c r="H2246" s="872"/>
      <c r="I2246" s="871"/>
      <c r="J2246" s="871"/>
      <c r="K2246" s="870"/>
      <c r="L2246" s="870"/>
      <c r="M2246" s="870"/>
      <c r="N2246" s="870"/>
      <c r="O2246" s="870"/>
      <c r="P2246" s="870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73"/>
      <c r="E2247" s="677"/>
      <c r="F2247" s="677"/>
      <c r="G2247" s="677"/>
      <c r="H2247" s="872"/>
      <c r="I2247" s="871"/>
      <c r="J2247" s="871"/>
      <c r="K2247" s="870"/>
      <c r="L2247" s="870"/>
      <c r="M2247" s="870"/>
      <c r="N2247" s="870"/>
      <c r="O2247" s="870"/>
      <c r="P2247" s="870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73"/>
      <c r="E2248" s="677"/>
      <c r="F2248" s="677"/>
      <c r="G2248" s="677"/>
      <c r="H2248" s="872"/>
      <c r="I2248" s="871"/>
      <c r="J2248" s="871"/>
      <c r="K2248" s="870"/>
      <c r="L2248" s="870"/>
      <c r="M2248" s="870"/>
      <c r="N2248" s="870"/>
      <c r="O2248" s="870"/>
      <c r="P2248" s="870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73"/>
      <c r="E2249" s="677"/>
      <c r="F2249" s="677"/>
      <c r="G2249" s="677"/>
      <c r="H2249" s="872"/>
      <c r="I2249" s="871"/>
      <c r="J2249" s="871"/>
      <c r="K2249" s="870"/>
      <c r="L2249" s="870"/>
      <c r="M2249" s="870"/>
      <c r="N2249" s="870"/>
      <c r="O2249" s="870"/>
      <c r="P2249" s="870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73"/>
      <c r="E2250" s="677"/>
      <c r="F2250" s="677"/>
      <c r="G2250" s="677"/>
      <c r="H2250" s="872"/>
      <c r="I2250" s="871"/>
      <c r="J2250" s="871"/>
      <c r="K2250" s="870"/>
      <c r="L2250" s="870"/>
      <c r="M2250" s="870"/>
      <c r="N2250" s="870"/>
      <c r="O2250" s="870"/>
      <c r="P2250" s="870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73"/>
      <c r="E2251" s="677"/>
      <c r="F2251" s="677"/>
      <c r="G2251" s="677"/>
      <c r="H2251" s="872"/>
      <c r="I2251" s="871"/>
      <c r="J2251" s="871"/>
      <c r="K2251" s="870"/>
      <c r="L2251" s="870"/>
      <c r="M2251" s="870"/>
      <c r="N2251" s="870"/>
      <c r="O2251" s="870"/>
      <c r="P2251" s="870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73"/>
      <c r="E2252" s="677"/>
      <c r="F2252" s="677"/>
      <c r="G2252" s="677"/>
      <c r="H2252" s="872"/>
      <c r="I2252" s="871"/>
      <c r="J2252" s="871"/>
      <c r="K2252" s="870"/>
      <c r="L2252" s="870"/>
      <c r="M2252" s="870"/>
      <c r="N2252" s="870"/>
      <c r="O2252" s="870"/>
      <c r="P2252" s="870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73"/>
      <c r="E2253" s="677"/>
      <c r="F2253" s="677"/>
      <c r="G2253" s="677"/>
      <c r="H2253" s="872"/>
      <c r="I2253" s="871"/>
      <c r="J2253" s="871"/>
      <c r="K2253" s="870"/>
      <c r="L2253" s="870"/>
      <c r="M2253" s="870"/>
      <c r="N2253" s="870"/>
      <c r="O2253" s="870"/>
      <c r="P2253" s="870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73"/>
      <c r="E2254" s="677"/>
      <c r="F2254" s="677"/>
      <c r="G2254" s="677"/>
      <c r="H2254" s="872"/>
      <c r="I2254" s="871"/>
      <c r="J2254" s="871"/>
      <c r="K2254" s="870"/>
      <c r="L2254" s="870"/>
      <c r="M2254" s="870"/>
      <c r="N2254" s="870"/>
      <c r="O2254" s="870"/>
      <c r="P2254" s="870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73"/>
      <c r="E2255" s="677"/>
      <c r="F2255" s="677"/>
      <c r="G2255" s="677"/>
      <c r="H2255" s="872"/>
      <c r="I2255" s="871"/>
      <c r="J2255" s="871"/>
      <c r="K2255" s="870"/>
      <c r="L2255" s="870"/>
      <c r="M2255" s="870"/>
      <c r="N2255" s="870"/>
      <c r="O2255" s="870"/>
      <c r="P2255" s="870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73"/>
      <c r="E2256" s="677"/>
      <c r="F2256" s="677"/>
      <c r="G2256" s="677"/>
      <c r="H2256" s="872"/>
      <c r="I2256" s="871"/>
      <c r="J2256" s="871"/>
      <c r="K2256" s="870"/>
      <c r="L2256" s="870"/>
      <c r="M2256" s="870"/>
      <c r="N2256" s="870"/>
      <c r="O2256" s="870"/>
      <c r="P2256" s="870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73"/>
      <c r="E2257" s="677"/>
      <c r="F2257" s="677"/>
      <c r="G2257" s="677"/>
      <c r="H2257" s="872"/>
      <c r="I2257" s="871"/>
      <c r="J2257" s="871"/>
      <c r="K2257" s="870"/>
      <c r="L2257" s="870"/>
      <c r="M2257" s="870"/>
      <c r="N2257" s="870"/>
      <c r="O2257" s="870"/>
      <c r="P2257" s="870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73"/>
      <c r="E2258" s="677"/>
      <c r="F2258" s="677"/>
      <c r="G2258" s="677"/>
      <c r="H2258" s="872"/>
      <c r="I2258" s="871"/>
      <c r="J2258" s="871"/>
      <c r="K2258" s="870"/>
      <c r="L2258" s="870"/>
      <c r="M2258" s="870"/>
      <c r="N2258" s="870"/>
      <c r="O2258" s="870"/>
      <c r="P2258" s="870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73"/>
      <c r="E2259" s="677"/>
      <c r="F2259" s="677"/>
      <c r="G2259" s="677"/>
      <c r="H2259" s="872"/>
      <c r="I2259" s="871"/>
      <c r="J2259" s="871"/>
      <c r="K2259" s="870"/>
      <c r="L2259" s="870"/>
      <c r="M2259" s="870"/>
      <c r="N2259" s="870"/>
      <c r="O2259" s="870"/>
      <c r="P2259" s="870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73"/>
      <c r="E2260" s="677"/>
      <c r="F2260" s="677"/>
      <c r="G2260" s="677"/>
      <c r="H2260" s="872"/>
      <c r="I2260" s="871"/>
      <c r="J2260" s="871"/>
      <c r="K2260" s="870"/>
      <c r="L2260" s="870"/>
      <c r="M2260" s="870"/>
      <c r="N2260" s="870"/>
      <c r="O2260" s="870"/>
      <c r="P2260" s="870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73"/>
      <c r="E2261" s="677"/>
      <c r="F2261" s="677"/>
      <c r="G2261" s="677"/>
      <c r="H2261" s="872"/>
      <c r="I2261" s="871"/>
      <c r="J2261" s="871"/>
      <c r="K2261" s="870"/>
      <c r="L2261" s="870"/>
      <c r="M2261" s="870"/>
      <c r="N2261" s="870"/>
      <c r="O2261" s="870"/>
      <c r="P2261" s="870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73"/>
      <c r="E2262" s="677"/>
      <c r="F2262" s="677"/>
      <c r="G2262" s="677"/>
      <c r="H2262" s="872"/>
      <c r="I2262" s="871"/>
      <c r="J2262" s="871"/>
      <c r="K2262" s="870"/>
      <c r="L2262" s="870"/>
      <c r="M2262" s="870"/>
      <c r="N2262" s="870"/>
      <c r="O2262" s="870"/>
      <c r="P2262" s="870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73"/>
      <c r="E2263" s="677"/>
      <c r="F2263" s="677"/>
      <c r="G2263" s="677"/>
      <c r="H2263" s="872"/>
      <c r="I2263" s="871"/>
      <c r="J2263" s="871"/>
      <c r="K2263" s="870"/>
      <c r="L2263" s="870"/>
      <c r="M2263" s="870"/>
      <c r="N2263" s="870"/>
      <c r="O2263" s="870"/>
      <c r="P2263" s="870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73"/>
      <c r="E2264" s="677"/>
      <c r="F2264" s="677"/>
      <c r="G2264" s="677"/>
      <c r="H2264" s="872"/>
      <c r="I2264" s="871"/>
      <c r="J2264" s="871"/>
      <c r="K2264" s="870"/>
      <c r="L2264" s="870"/>
      <c r="M2264" s="870"/>
      <c r="N2264" s="870"/>
      <c r="O2264" s="870"/>
      <c r="P2264" s="870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73"/>
      <c r="E2265" s="677"/>
      <c r="F2265" s="677"/>
      <c r="G2265" s="677"/>
      <c r="H2265" s="872"/>
      <c r="I2265" s="871"/>
      <c r="J2265" s="871"/>
      <c r="K2265" s="870"/>
      <c r="L2265" s="870"/>
      <c r="M2265" s="870"/>
      <c r="N2265" s="870"/>
      <c r="O2265" s="870"/>
      <c r="P2265" s="870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73"/>
      <c r="E2266" s="677"/>
      <c r="F2266" s="677"/>
      <c r="G2266" s="677"/>
      <c r="H2266" s="872"/>
      <c r="I2266" s="871"/>
      <c r="J2266" s="871"/>
      <c r="K2266" s="870"/>
      <c r="L2266" s="870"/>
      <c r="M2266" s="870"/>
      <c r="N2266" s="870"/>
      <c r="O2266" s="870"/>
      <c r="P2266" s="870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73"/>
      <c r="E2267" s="677"/>
      <c r="F2267" s="677"/>
      <c r="G2267" s="677"/>
      <c r="H2267" s="872"/>
      <c r="I2267" s="871"/>
      <c r="J2267" s="871"/>
      <c r="K2267" s="870"/>
      <c r="L2267" s="870"/>
      <c r="M2267" s="870"/>
      <c r="N2267" s="870"/>
      <c r="O2267" s="870"/>
      <c r="P2267" s="870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73"/>
      <c r="E2268" s="677"/>
      <c r="F2268" s="677"/>
      <c r="G2268" s="677"/>
      <c r="H2268" s="872"/>
      <c r="I2268" s="871"/>
      <c r="J2268" s="871"/>
      <c r="K2268" s="870"/>
      <c r="L2268" s="870"/>
      <c r="M2268" s="870"/>
      <c r="N2268" s="870"/>
      <c r="O2268" s="870"/>
      <c r="P2268" s="870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73"/>
      <c r="E2269" s="677"/>
      <c r="F2269" s="677"/>
      <c r="G2269" s="677"/>
      <c r="H2269" s="872"/>
      <c r="I2269" s="871"/>
      <c r="J2269" s="871"/>
      <c r="K2269" s="870"/>
      <c r="L2269" s="870"/>
      <c r="M2269" s="870"/>
      <c r="N2269" s="870"/>
      <c r="O2269" s="870"/>
      <c r="P2269" s="870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73"/>
      <c r="E2270" s="677"/>
      <c r="F2270" s="677"/>
      <c r="G2270" s="677"/>
      <c r="H2270" s="872"/>
      <c r="I2270" s="871"/>
      <c r="J2270" s="871"/>
      <c r="K2270" s="870"/>
      <c r="L2270" s="870"/>
      <c r="M2270" s="870"/>
      <c r="N2270" s="870"/>
      <c r="O2270" s="870"/>
      <c r="P2270" s="870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73"/>
      <c r="E2271" s="677"/>
      <c r="F2271" s="677"/>
      <c r="G2271" s="677"/>
      <c r="H2271" s="872"/>
      <c r="I2271" s="871"/>
      <c r="J2271" s="871"/>
      <c r="K2271" s="870"/>
      <c r="L2271" s="870"/>
      <c r="M2271" s="870"/>
      <c r="N2271" s="870"/>
      <c r="O2271" s="870"/>
      <c r="P2271" s="870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73"/>
      <c r="E2272" s="677"/>
      <c r="F2272" s="677"/>
      <c r="G2272" s="677"/>
      <c r="H2272" s="872"/>
      <c r="I2272" s="871"/>
      <c r="J2272" s="871"/>
      <c r="K2272" s="870"/>
      <c r="L2272" s="870"/>
      <c r="M2272" s="870"/>
      <c r="N2272" s="870"/>
      <c r="O2272" s="870"/>
      <c r="P2272" s="870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73"/>
      <c r="E2273" s="677"/>
      <c r="F2273" s="677"/>
      <c r="G2273" s="677"/>
      <c r="H2273" s="872"/>
      <c r="I2273" s="871"/>
      <c r="J2273" s="871"/>
      <c r="K2273" s="870"/>
      <c r="L2273" s="870"/>
      <c r="M2273" s="870"/>
      <c r="N2273" s="870"/>
      <c r="O2273" s="870"/>
      <c r="P2273" s="870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73"/>
      <c r="E2274" s="677"/>
      <c r="F2274" s="677"/>
      <c r="G2274" s="677"/>
      <c r="H2274" s="872"/>
      <c r="I2274" s="871"/>
      <c r="J2274" s="871"/>
      <c r="K2274" s="870"/>
      <c r="L2274" s="870"/>
      <c r="M2274" s="870"/>
      <c r="N2274" s="870"/>
      <c r="O2274" s="870"/>
      <c r="P2274" s="870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73"/>
      <c r="E2275" s="677"/>
      <c r="F2275" s="677"/>
      <c r="G2275" s="677"/>
      <c r="H2275" s="872"/>
      <c r="I2275" s="871"/>
      <c r="J2275" s="871"/>
      <c r="K2275" s="870"/>
      <c r="L2275" s="870"/>
      <c r="M2275" s="870"/>
      <c r="N2275" s="870"/>
      <c r="O2275" s="870"/>
      <c r="P2275" s="870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73"/>
      <c r="E2276" s="677"/>
      <c r="F2276" s="677"/>
      <c r="G2276" s="677"/>
      <c r="H2276" s="872"/>
      <c r="I2276" s="871"/>
      <c r="J2276" s="871"/>
      <c r="K2276" s="870"/>
      <c r="L2276" s="870"/>
      <c r="M2276" s="870"/>
      <c r="N2276" s="870"/>
      <c r="O2276" s="870"/>
      <c r="P2276" s="870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73"/>
      <c r="E2277" s="677"/>
      <c r="F2277" s="677"/>
      <c r="G2277" s="677"/>
      <c r="H2277" s="872"/>
      <c r="I2277" s="871"/>
      <c r="J2277" s="871"/>
      <c r="K2277" s="870"/>
      <c r="L2277" s="870"/>
      <c r="M2277" s="870"/>
      <c r="N2277" s="870"/>
      <c r="O2277" s="870"/>
      <c r="P2277" s="870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73"/>
      <c r="E2278" s="677"/>
      <c r="F2278" s="677"/>
      <c r="G2278" s="677"/>
      <c r="H2278" s="872"/>
      <c r="I2278" s="871"/>
      <c r="J2278" s="871"/>
      <c r="K2278" s="870"/>
      <c r="L2278" s="870"/>
      <c r="M2278" s="870"/>
      <c r="N2278" s="870"/>
      <c r="O2278" s="870"/>
      <c r="P2278" s="870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73"/>
      <c r="E2279" s="677"/>
      <c r="F2279" s="677"/>
      <c r="G2279" s="677"/>
      <c r="H2279" s="872"/>
      <c r="I2279" s="871"/>
      <c r="J2279" s="871"/>
      <c r="K2279" s="870"/>
      <c r="L2279" s="870"/>
      <c r="M2279" s="870"/>
      <c r="N2279" s="870"/>
      <c r="O2279" s="870"/>
      <c r="P2279" s="870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73"/>
      <c r="E2280" s="677"/>
      <c r="F2280" s="677"/>
      <c r="G2280" s="677"/>
      <c r="H2280" s="872"/>
      <c r="I2280" s="871"/>
      <c r="J2280" s="871"/>
      <c r="K2280" s="870"/>
      <c r="L2280" s="870"/>
      <c r="M2280" s="870"/>
      <c r="N2280" s="870"/>
      <c r="O2280" s="870"/>
      <c r="P2280" s="870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73"/>
      <c r="E2281" s="677"/>
      <c r="F2281" s="677"/>
      <c r="G2281" s="677"/>
      <c r="H2281" s="872"/>
      <c r="I2281" s="871"/>
      <c r="J2281" s="871"/>
      <c r="K2281" s="870"/>
      <c r="L2281" s="870"/>
      <c r="M2281" s="870"/>
      <c r="N2281" s="870"/>
      <c r="O2281" s="870"/>
      <c r="P2281" s="870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73"/>
      <c r="E2282" s="677"/>
      <c r="F2282" s="677"/>
      <c r="G2282" s="677"/>
      <c r="H2282" s="872"/>
      <c r="I2282" s="871"/>
      <c r="J2282" s="871"/>
      <c r="K2282" s="870"/>
      <c r="L2282" s="870"/>
      <c r="M2282" s="870"/>
      <c r="N2282" s="870"/>
      <c r="O2282" s="870"/>
      <c r="P2282" s="870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73"/>
      <c r="E2283" s="677"/>
      <c r="F2283" s="677"/>
      <c r="G2283" s="677"/>
      <c r="H2283" s="872"/>
      <c r="I2283" s="871"/>
      <c r="J2283" s="871"/>
      <c r="K2283" s="870"/>
      <c r="L2283" s="870"/>
      <c r="M2283" s="870"/>
      <c r="N2283" s="870"/>
      <c r="O2283" s="870"/>
      <c r="P2283" s="870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73"/>
      <c r="E2284" s="677"/>
      <c r="F2284" s="677"/>
      <c r="G2284" s="677"/>
      <c r="H2284" s="872"/>
      <c r="I2284" s="871"/>
      <c r="J2284" s="871"/>
      <c r="K2284" s="870"/>
      <c r="L2284" s="870"/>
      <c r="M2284" s="870"/>
      <c r="N2284" s="870"/>
      <c r="O2284" s="870"/>
      <c r="P2284" s="870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73"/>
      <c r="E2285" s="677"/>
      <c r="F2285" s="677"/>
      <c r="G2285" s="677"/>
      <c r="H2285" s="872"/>
      <c r="I2285" s="871"/>
      <c r="J2285" s="871"/>
      <c r="K2285" s="870"/>
      <c r="L2285" s="870"/>
      <c r="M2285" s="870"/>
      <c r="N2285" s="870"/>
      <c r="O2285" s="870"/>
      <c r="P2285" s="870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73"/>
      <c r="E2286" s="677"/>
      <c r="F2286" s="677"/>
      <c r="G2286" s="677"/>
      <c r="H2286" s="872"/>
      <c r="I2286" s="871"/>
      <c r="J2286" s="871"/>
      <c r="K2286" s="870"/>
      <c r="L2286" s="870"/>
      <c r="M2286" s="870"/>
      <c r="N2286" s="870"/>
      <c r="O2286" s="870"/>
      <c r="P2286" s="870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73"/>
      <c r="E2287" s="677"/>
      <c r="F2287" s="677"/>
      <c r="G2287" s="677"/>
      <c r="H2287" s="872"/>
      <c r="I2287" s="871"/>
      <c r="J2287" s="871"/>
      <c r="K2287" s="870"/>
      <c r="L2287" s="870"/>
      <c r="M2287" s="870"/>
      <c r="N2287" s="870"/>
      <c r="O2287" s="870"/>
      <c r="P2287" s="870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73"/>
      <c r="E2288" s="677"/>
      <c r="F2288" s="677"/>
      <c r="G2288" s="677"/>
      <c r="H2288" s="872"/>
      <c r="I2288" s="871"/>
      <c r="J2288" s="871"/>
      <c r="K2288" s="870"/>
      <c r="L2288" s="870"/>
      <c r="M2288" s="870"/>
      <c r="N2288" s="870"/>
      <c r="O2288" s="870"/>
      <c r="P2288" s="870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73"/>
      <c r="E2289" s="677"/>
      <c r="F2289" s="677"/>
      <c r="G2289" s="677"/>
      <c r="H2289" s="872"/>
      <c r="I2289" s="871"/>
      <c r="J2289" s="871"/>
      <c r="K2289" s="870"/>
      <c r="L2289" s="870"/>
      <c r="M2289" s="870"/>
      <c r="N2289" s="870"/>
      <c r="O2289" s="870"/>
      <c r="P2289" s="870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73"/>
      <c r="E2290" s="677"/>
      <c r="F2290" s="677"/>
      <c r="G2290" s="677"/>
      <c r="H2290" s="872"/>
      <c r="I2290" s="871"/>
      <c r="J2290" s="871"/>
      <c r="K2290" s="870"/>
      <c r="L2290" s="870"/>
      <c r="M2290" s="870"/>
      <c r="N2290" s="870"/>
      <c r="O2290" s="870"/>
      <c r="P2290" s="870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73"/>
      <c r="E2291" s="677"/>
      <c r="F2291" s="677"/>
      <c r="G2291" s="677"/>
      <c r="H2291" s="872"/>
      <c r="I2291" s="871"/>
      <c r="J2291" s="871"/>
      <c r="K2291" s="870"/>
      <c r="L2291" s="870"/>
      <c r="M2291" s="870"/>
      <c r="N2291" s="870"/>
      <c r="O2291" s="870"/>
      <c r="P2291" s="870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73"/>
      <c r="E2292" s="677"/>
      <c r="F2292" s="677"/>
      <c r="G2292" s="677"/>
      <c r="H2292" s="872"/>
      <c r="I2292" s="871"/>
      <c r="J2292" s="871"/>
      <c r="K2292" s="870"/>
      <c r="L2292" s="870"/>
      <c r="M2292" s="870"/>
      <c r="N2292" s="870"/>
      <c r="O2292" s="870"/>
      <c r="P2292" s="870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73"/>
      <c r="E2293" s="677"/>
      <c r="F2293" s="677"/>
      <c r="G2293" s="677"/>
      <c r="H2293" s="872"/>
      <c r="I2293" s="871"/>
      <c r="J2293" s="871"/>
      <c r="K2293" s="870"/>
      <c r="L2293" s="870"/>
      <c r="M2293" s="870"/>
      <c r="N2293" s="870"/>
      <c r="O2293" s="870"/>
      <c r="P2293" s="870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73"/>
      <c r="E2294" s="677"/>
      <c r="F2294" s="677"/>
      <c r="G2294" s="677"/>
      <c r="H2294" s="872"/>
      <c r="I2294" s="871"/>
      <c r="J2294" s="871"/>
      <c r="K2294" s="870"/>
      <c r="L2294" s="870"/>
      <c r="M2294" s="870"/>
      <c r="N2294" s="870"/>
      <c r="O2294" s="870"/>
      <c r="P2294" s="870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73"/>
      <c r="E2295" s="677"/>
      <c r="F2295" s="677"/>
      <c r="G2295" s="677"/>
      <c r="H2295" s="872"/>
      <c r="I2295" s="871"/>
      <c r="J2295" s="871"/>
      <c r="K2295" s="870"/>
      <c r="L2295" s="870"/>
      <c r="M2295" s="870"/>
      <c r="N2295" s="870"/>
      <c r="O2295" s="870"/>
      <c r="P2295" s="870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73"/>
      <c r="E2296" s="677"/>
      <c r="F2296" s="677"/>
      <c r="G2296" s="677"/>
      <c r="H2296" s="872"/>
      <c r="I2296" s="871"/>
      <c r="J2296" s="871"/>
      <c r="K2296" s="870"/>
      <c r="L2296" s="870"/>
      <c r="M2296" s="870"/>
      <c r="N2296" s="870"/>
      <c r="O2296" s="870"/>
      <c r="P2296" s="870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73"/>
      <c r="E2297" s="677"/>
      <c r="F2297" s="677"/>
      <c r="G2297" s="677"/>
      <c r="H2297" s="872"/>
      <c r="I2297" s="871"/>
      <c r="J2297" s="871"/>
      <c r="K2297" s="870"/>
      <c r="L2297" s="870"/>
      <c r="M2297" s="870"/>
      <c r="N2297" s="870"/>
      <c r="O2297" s="870"/>
      <c r="P2297" s="870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73"/>
      <c r="E2298" s="677"/>
      <c r="F2298" s="677"/>
      <c r="G2298" s="677"/>
      <c r="H2298" s="872"/>
      <c r="I2298" s="871"/>
      <c r="J2298" s="871"/>
      <c r="K2298" s="870"/>
      <c r="L2298" s="870"/>
      <c r="M2298" s="870"/>
      <c r="N2298" s="870"/>
      <c r="O2298" s="870"/>
      <c r="P2298" s="870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73"/>
      <c r="E2299" s="677"/>
      <c r="F2299" s="677"/>
      <c r="G2299" s="677"/>
      <c r="H2299" s="872"/>
      <c r="I2299" s="871"/>
      <c r="J2299" s="871"/>
      <c r="K2299" s="870"/>
      <c r="L2299" s="870"/>
      <c r="M2299" s="870"/>
      <c r="N2299" s="870"/>
      <c r="O2299" s="870"/>
      <c r="P2299" s="870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73"/>
      <c r="E2300" s="677"/>
      <c r="F2300" s="677"/>
      <c r="G2300" s="677"/>
      <c r="H2300" s="872"/>
      <c r="I2300" s="871"/>
      <c r="J2300" s="871"/>
      <c r="K2300" s="870"/>
      <c r="L2300" s="870"/>
      <c r="M2300" s="870"/>
      <c r="N2300" s="870"/>
      <c r="O2300" s="870"/>
      <c r="P2300" s="870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73"/>
      <c r="E2301" s="677"/>
      <c r="F2301" s="677"/>
      <c r="G2301" s="677"/>
      <c r="H2301" s="872"/>
      <c r="I2301" s="871"/>
      <c r="J2301" s="871"/>
      <c r="K2301" s="870"/>
      <c r="L2301" s="870"/>
      <c r="M2301" s="870"/>
      <c r="N2301" s="870"/>
      <c r="O2301" s="870"/>
      <c r="P2301" s="870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73"/>
      <c r="E2302" s="677"/>
      <c r="F2302" s="677"/>
      <c r="G2302" s="677"/>
      <c r="H2302" s="872"/>
      <c r="I2302" s="871"/>
      <c r="J2302" s="871"/>
      <c r="K2302" s="870"/>
      <c r="L2302" s="870"/>
      <c r="M2302" s="870"/>
      <c r="N2302" s="870"/>
      <c r="O2302" s="870"/>
      <c r="P2302" s="870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73"/>
      <c r="E2303" s="677"/>
      <c r="F2303" s="677"/>
      <c r="G2303" s="677"/>
      <c r="H2303" s="872"/>
      <c r="I2303" s="871"/>
      <c r="J2303" s="871"/>
      <c r="K2303" s="870"/>
      <c r="L2303" s="870"/>
      <c r="M2303" s="870"/>
      <c r="N2303" s="870"/>
      <c r="O2303" s="870"/>
      <c r="P2303" s="870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73"/>
      <c r="E2304" s="677"/>
      <c r="F2304" s="677"/>
      <c r="G2304" s="677"/>
      <c r="H2304" s="872"/>
      <c r="I2304" s="871"/>
      <c r="J2304" s="871"/>
      <c r="K2304" s="870"/>
      <c r="L2304" s="870"/>
      <c r="M2304" s="870"/>
      <c r="N2304" s="870"/>
      <c r="O2304" s="870"/>
      <c r="P2304" s="870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73"/>
      <c r="E2305" s="677"/>
      <c r="F2305" s="677"/>
      <c r="G2305" s="677"/>
      <c r="H2305" s="872"/>
      <c r="I2305" s="871"/>
      <c r="J2305" s="871"/>
      <c r="K2305" s="870"/>
      <c r="L2305" s="870"/>
      <c r="M2305" s="870"/>
      <c r="N2305" s="870"/>
      <c r="O2305" s="870"/>
      <c r="P2305" s="870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73"/>
      <c r="E2306" s="677"/>
      <c r="F2306" s="677"/>
      <c r="G2306" s="677"/>
      <c r="H2306" s="872"/>
      <c r="I2306" s="871"/>
      <c r="J2306" s="871"/>
      <c r="K2306" s="870"/>
      <c r="L2306" s="870"/>
      <c r="M2306" s="870"/>
      <c r="N2306" s="870"/>
      <c r="O2306" s="870"/>
      <c r="P2306" s="870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73"/>
      <c r="E2307" s="677"/>
      <c r="F2307" s="677"/>
      <c r="G2307" s="677"/>
      <c r="H2307" s="872"/>
      <c r="I2307" s="871"/>
      <c r="J2307" s="871"/>
      <c r="K2307" s="870"/>
      <c r="L2307" s="870"/>
      <c r="M2307" s="870"/>
      <c r="N2307" s="870"/>
      <c r="O2307" s="870"/>
      <c r="P2307" s="870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73"/>
      <c r="E2308" s="677"/>
      <c r="F2308" s="677"/>
      <c r="G2308" s="677"/>
      <c r="H2308" s="872"/>
      <c r="I2308" s="871"/>
      <c r="J2308" s="871"/>
      <c r="K2308" s="870"/>
      <c r="L2308" s="870"/>
      <c r="M2308" s="870"/>
      <c r="N2308" s="870"/>
      <c r="O2308" s="870"/>
      <c r="P2308" s="870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73"/>
      <c r="E2309" s="677"/>
      <c r="F2309" s="677"/>
      <c r="G2309" s="677"/>
      <c r="H2309" s="872"/>
      <c r="I2309" s="871"/>
      <c r="J2309" s="871"/>
      <c r="K2309" s="870"/>
      <c r="L2309" s="870"/>
      <c r="M2309" s="870"/>
      <c r="N2309" s="870"/>
      <c r="O2309" s="870"/>
      <c r="P2309" s="870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73"/>
      <c r="E2310" s="677"/>
      <c r="F2310" s="677"/>
      <c r="G2310" s="677"/>
      <c r="H2310" s="872"/>
      <c r="I2310" s="871"/>
      <c r="J2310" s="871"/>
      <c r="K2310" s="870"/>
      <c r="L2310" s="870"/>
      <c r="M2310" s="870"/>
      <c r="N2310" s="870"/>
      <c r="O2310" s="870"/>
      <c r="P2310" s="870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73"/>
      <c r="E2311" s="677"/>
      <c r="F2311" s="677"/>
      <c r="G2311" s="677"/>
      <c r="H2311" s="872"/>
      <c r="I2311" s="871"/>
      <c r="J2311" s="871"/>
      <c r="K2311" s="870"/>
      <c r="L2311" s="870"/>
      <c r="M2311" s="870"/>
      <c r="N2311" s="870"/>
      <c r="O2311" s="870"/>
      <c r="P2311" s="870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73"/>
      <c r="E2312" s="677"/>
      <c r="F2312" s="677"/>
      <c r="G2312" s="677"/>
      <c r="H2312" s="872"/>
      <c r="I2312" s="871"/>
      <c r="J2312" s="871"/>
      <c r="K2312" s="870"/>
      <c r="L2312" s="870"/>
      <c r="M2312" s="870"/>
      <c r="N2312" s="870"/>
      <c r="O2312" s="870"/>
      <c r="P2312" s="870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73"/>
      <c r="E2313" s="677"/>
      <c r="F2313" s="677"/>
      <c r="G2313" s="677"/>
      <c r="H2313" s="872"/>
      <c r="I2313" s="871"/>
      <c r="J2313" s="871"/>
      <c r="K2313" s="870"/>
      <c r="L2313" s="870"/>
      <c r="M2313" s="870"/>
      <c r="N2313" s="870"/>
      <c r="O2313" s="870"/>
      <c r="P2313" s="870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73"/>
      <c r="E2314" s="677"/>
      <c r="F2314" s="677"/>
      <c r="G2314" s="677"/>
      <c r="H2314" s="872"/>
      <c r="I2314" s="871"/>
      <c r="J2314" s="871"/>
      <c r="K2314" s="870"/>
      <c r="L2314" s="870"/>
      <c r="M2314" s="870"/>
      <c r="N2314" s="870"/>
      <c r="O2314" s="870"/>
      <c r="P2314" s="870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73"/>
      <c r="E2315" s="677"/>
      <c r="F2315" s="677"/>
      <c r="G2315" s="677"/>
      <c r="H2315" s="872"/>
      <c r="I2315" s="871"/>
      <c r="J2315" s="871"/>
      <c r="K2315" s="870"/>
      <c r="L2315" s="870"/>
      <c r="M2315" s="870"/>
      <c r="N2315" s="870"/>
      <c r="O2315" s="870"/>
      <c r="P2315" s="870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73"/>
      <c r="E2316" s="677"/>
      <c r="F2316" s="677"/>
      <c r="G2316" s="677"/>
      <c r="H2316" s="872"/>
      <c r="I2316" s="871"/>
      <c r="J2316" s="871"/>
      <c r="K2316" s="870"/>
      <c r="L2316" s="870"/>
      <c r="M2316" s="870"/>
      <c r="N2316" s="870"/>
      <c r="O2316" s="870"/>
      <c r="P2316" s="870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73"/>
      <c r="E2317" s="677"/>
      <c r="F2317" s="677"/>
      <c r="G2317" s="677"/>
      <c r="H2317" s="872"/>
      <c r="I2317" s="871"/>
      <c r="J2317" s="871"/>
      <c r="K2317" s="870"/>
      <c r="L2317" s="870"/>
      <c r="M2317" s="870"/>
      <c r="N2317" s="870"/>
      <c r="O2317" s="870"/>
      <c r="P2317" s="870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73"/>
      <c r="E2318" s="677"/>
      <c r="F2318" s="677"/>
      <c r="G2318" s="677"/>
      <c r="H2318" s="872"/>
      <c r="I2318" s="871"/>
      <c r="J2318" s="871"/>
      <c r="K2318" s="870"/>
      <c r="L2318" s="870"/>
      <c r="M2318" s="870"/>
      <c r="N2318" s="870"/>
      <c r="O2318" s="870"/>
      <c r="P2318" s="870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73"/>
      <c r="E2319" s="677"/>
      <c r="F2319" s="677"/>
      <c r="G2319" s="677"/>
      <c r="H2319" s="872"/>
      <c r="I2319" s="871"/>
      <c r="J2319" s="871"/>
      <c r="K2319" s="870"/>
      <c r="L2319" s="870"/>
      <c r="M2319" s="870"/>
      <c r="N2319" s="870"/>
      <c r="O2319" s="870"/>
      <c r="P2319" s="870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73"/>
      <c r="E2320" s="677"/>
      <c r="F2320" s="677"/>
      <c r="G2320" s="677"/>
      <c r="H2320" s="872"/>
      <c r="I2320" s="871"/>
      <c r="J2320" s="871"/>
      <c r="K2320" s="870"/>
      <c r="L2320" s="870"/>
      <c r="M2320" s="870"/>
      <c r="N2320" s="870"/>
      <c r="O2320" s="870"/>
      <c r="P2320" s="870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73"/>
      <c r="E2321" s="677"/>
      <c r="F2321" s="677"/>
      <c r="G2321" s="677"/>
      <c r="H2321" s="872"/>
      <c r="I2321" s="871"/>
      <c r="J2321" s="871"/>
      <c r="K2321" s="870"/>
      <c r="L2321" s="870"/>
      <c r="M2321" s="870"/>
      <c r="N2321" s="870"/>
      <c r="O2321" s="870"/>
      <c r="P2321" s="870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73"/>
      <c r="E2322" s="677"/>
      <c r="F2322" s="677"/>
      <c r="G2322" s="677"/>
      <c r="H2322" s="872"/>
      <c r="I2322" s="871"/>
      <c r="J2322" s="871"/>
      <c r="K2322" s="870"/>
      <c r="L2322" s="870"/>
      <c r="M2322" s="870"/>
      <c r="N2322" s="870"/>
      <c r="O2322" s="870"/>
      <c r="P2322" s="870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73"/>
      <c r="E2323" s="677"/>
      <c r="F2323" s="677"/>
      <c r="G2323" s="677"/>
      <c r="H2323" s="872"/>
      <c r="I2323" s="871"/>
      <c r="J2323" s="871"/>
      <c r="K2323" s="870"/>
      <c r="L2323" s="870"/>
      <c r="M2323" s="870"/>
      <c r="N2323" s="870"/>
      <c r="O2323" s="870"/>
      <c r="P2323" s="870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73"/>
      <c r="E2324" s="677"/>
      <c r="F2324" s="677"/>
      <c r="G2324" s="677"/>
      <c r="H2324" s="872"/>
      <c r="I2324" s="871"/>
      <c r="J2324" s="871"/>
      <c r="K2324" s="870"/>
      <c r="L2324" s="870"/>
      <c r="M2324" s="870"/>
      <c r="N2324" s="870"/>
      <c r="O2324" s="870"/>
      <c r="P2324" s="870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73"/>
      <c r="E2325" s="677"/>
      <c r="F2325" s="677"/>
      <c r="G2325" s="677"/>
      <c r="H2325" s="872"/>
      <c r="I2325" s="871"/>
      <c r="J2325" s="871"/>
      <c r="K2325" s="870"/>
      <c r="L2325" s="870"/>
      <c r="M2325" s="870"/>
      <c r="N2325" s="870"/>
      <c r="O2325" s="870"/>
      <c r="P2325" s="870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73"/>
      <c r="E2326" s="677"/>
      <c r="F2326" s="677"/>
      <c r="G2326" s="677"/>
      <c r="H2326" s="872"/>
      <c r="I2326" s="871"/>
      <c r="J2326" s="871"/>
      <c r="K2326" s="870"/>
      <c r="L2326" s="870"/>
      <c r="M2326" s="870"/>
      <c r="N2326" s="870"/>
      <c r="O2326" s="870"/>
      <c r="P2326" s="870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73"/>
      <c r="E2327" s="677"/>
      <c r="F2327" s="677"/>
      <c r="G2327" s="677"/>
      <c r="H2327" s="872"/>
      <c r="I2327" s="871"/>
      <c r="J2327" s="871"/>
      <c r="K2327" s="870"/>
      <c r="L2327" s="870"/>
      <c r="M2327" s="870"/>
      <c r="N2327" s="870"/>
      <c r="O2327" s="870"/>
      <c r="P2327" s="870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73"/>
      <c r="E2328" s="677"/>
      <c r="F2328" s="677"/>
      <c r="G2328" s="677"/>
      <c r="H2328" s="872"/>
      <c r="I2328" s="871"/>
      <c r="J2328" s="871"/>
      <c r="K2328" s="870"/>
      <c r="L2328" s="870"/>
      <c r="M2328" s="870"/>
      <c r="N2328" s="870"/>
      <c r="O2328" s="870"/>
      <c r="P2328" s="870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73"/>
      <c r="E2329" s="677"/>
      <c r="F2329" s="677"/>
      <c r="G2329" s="677"/>
      <c r="H2329" s="872"/>
      <c r="I2329" s="871"/>
      <c r="J2329" s="871"/>
      <c r="K2329" s="870"/>
      <c r="L2329" s="870"/>
      <c r="M2329" s="870"/>
      <c r="N2329" s="870"/>
      <c r="O2329" s="870"/>
      <c r="P2329" s="870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73"/>
      <c r="E2330" s="677"/>
      <c r="F2330" s="677"/>
      <c r="G2330" s="677"/>
      <c r="H2330" s="872"/>
      <c r="I2330" s="871"/>
      <c r="J2330" s="871"/>
      <c r="K2330" s="870"/>
      <c r="L2330" s="870"/>
      <c r="M2330" s="870"/>
      <c r="N2330" s="870"/>
      <c r="O2330" s="870"/>
      <c r="P2330" s="870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73"/>
      <c r="E2331" s="677"/>
      <c r="F2331" s="677"/>
      <c r="G2331" s="677"/>
      <c r="H2331" s="872"/>
      <c r="I2331" s="871"/>
      <c r="J2331" s="871"/>
      <c r="K2331" s="870"/>
      <c r="L2331" s="870"/>
      <c r="M2331" s="870"/>
      <c r="N2331" s="870"/>
      <c r="O2331" s="870"/>
      <c r="P2331" s="870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73"/>
      <c r="E2332" s="677"/>
      <c r="F2332" s="677"/>
      <c r="G2332" s="677"/>
      <c r="H2332" s="872"/>
      <c r="I2332" s="871"/>
      <c r="J2332" s="871"/>
      <c r="K2332" s="870"/>
      <c r="L2332" s="870"/>
      <c r="M2332" s="870"/>
      <c r="N2332" s="870"/>
      <c r="O2332" s="870"/>
      <c r="P2332" s="870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73"/>
      <c r="E2333" s="677"/>
      <c r="F2333" s="677"/>
      <c r="G2333" s="677"/>
      <c r="H2333" s="872"/>
      <c r="I2333" s="871"/>
      <c r="J2333" s="871"/>
      <c r="K2333" s="870"/>
      <c r="L2333" s="870"/>
      <c r="M2333" s="870"/>
      <c r="N2333" s="870"/>
      <c r="O2333" s="870"/>
      <c r="P2333" s="870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73"/>
      <c r="E2334" s="677"/>
      <c r="F2334" s="677"/>
      <c r="G2334" s="677"/>
      <c r="H2334" s="872"/>
      <c r="I2334" s="871"/>
      <c r="J2334" s="871"/>
      <c r="K2334" s="870"/>
      <c r="L2334" s="870"/>
      <c r="M2334" s="870"/>
      <c r="N2334" s="870"/>
      <c r="O2334" s="870"/>
      <c r="P2334" s="870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73"/>
      <c r="E2335" s="677"/>
      <c r="F2335" s="677"/>
      <c r="G2335" s="677"/>
      <c r="H2335" s="872"/>
      <c r="I2335" s="871"/>
      <c r="J2335" s="871"/>
      <c r="K2335" s="870"/>
      <c r="L2335" s="870"/>
      <c r="M2335" s="870"/>
      <c r="N2335" s="870"/>
      <c r="O2335" s="870"/>
      <c r="P2335" s="870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73"/>
      <c r="E2336" s="677"/>
      <c r="F2336" s="677"/>
      <c r="G2336" s="677"/>
      <c r="H2336" s="872"/>
      <c r="I2336" s="871"/>
      <c r="J2336" s="871"/>
      <c r="K2336" s="870"/>
      <c r="L2336" s="870"/>
      <c r="M2336" s="870"/>
      <c r="N2336" s="870"/>
      <c r="O2336" s="870"/>
      <c r="P2336" s="870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73"/>
      <c r="E2337" s="677"/>
      <c r="F2337" s="677"/>
      <c r="G2337" s="677"/>
      <c r="H2337" s="872"/>
      <c r="I2337" s="871"/>
      <c r="J2337" s="871"/>
      <c r="K2337" s="870"/>
      <c r="L2337" s="870"/>
      <c r="M2337" s="870"/>
      <c r="N2337" s="870"/>
      <c r="O2337" s="870"/>
      <c r="P2337" s="870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73"/>
      <c r="E2338" s="677"/>
      <c r="F2338" s="677"/>
      <c r="G2338" s="677"/>
      <c r="H2338" s="872"/>
      <c r="I2338" s="871"/>
      <c r="J2338" s="871"/>
      <c r="K2338" s="870"/>
      <c r="L2338" s="870"/>
      <c r="M2338" s="870"/>
      <c r="N2338" s="870"/>
      <c r="O2338" s="870"/>
      <c r="P2338" s="870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73"/>
      <c r="E2339" s="677"/>
      <c r="F2339" s="677"/>
      <c r="G2339" s="677"/>
      <c r="H2339" s="872"/>
      <c r="I2339" s="871"/>
      <c r="J2339" s="871"/>
      <c r="K2339" s="870"/>
      <c r="L2339" s="870"/>
      <c r="M2339" s="870"/>
      <c r="N2339" s="870"/>
      <c r="O2339" s="870"/>
      <c r="P2339" s="870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73"/>
      <c r="E2340" s="677"/>
      <c r="F2340" s="677"/>
      <c r="G2340" s="677"/>
      <c r="H2340" s="872"/>
      <c r="I2340" s="871"/>
      <c r="J2340" s="871"/>
      <c r="K2340" s="870"/>
      <c r="L2340" s="870"/>
      <c r="M2340" s="870"/>
      <c r="N2340" s="870"/>
      <c r="O2340" s="870"/>
      <c r="P2340" s="870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73"/>
      <c r="E2341" s="677"/>
      <c r="F2341" s="677"/>
      <c r="G2341" s="677"/>
      <c r="H2341" s="872"/>
      <c r="I2341" s="871"/>
      <c r="J2341" s="871"/>
      <c r="K2341" s="870"/>
      <c r="L2341" s="870"/>
      <c r="M2341" s="870"/>
      <c r="N2341" s="870"/>
      <c r="O2341" s="870"/>
      <c r="P2341" s="870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73"/>
      <c r="E2342" s="677"/>
      <c r="F2342" s="677"/>
      <c r="G2342" s="677"/>
      <c r="H2342" s="872"/>
      <c r="I2342" s="871"/>
      <c r="J2342" s="871"/>
      <c r="K2342" s="870"/>
      <c r="L2342" s="870"/>
      <c r="M2342" s="870"/>
      <c r="N2342" s="870"/>
      <c r="O2342" s="870"/>
      <c r="P2342" s="870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73"/>
      <c r="E2343" s="677"/>
      <c r="F2343" s="677"/>
      <c r="G2343" s="677"/>
      <c r="H2343" s="872"/>
      <c r="I2343" s="871"/>
      <c r="J2343" s="871"/>
      <c r="K2343" s="870"/>
      <c r="L2343" s="870"/>
      <c r="M2343" s="870"/>
      <c r="N2343" s="870"/>
      <c r="O2343" s="870"/>
      <c r="P2343" s="870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73"/>
      <c r="E2344" s="677"/>
      <c r="F2344" s="677"/>
      <c r="G2344" s="677"/>
      <c r="H2344" s="872"/>
      <c r="I2344" s="871"/>
      <c r="J2344" s="871"/>
      <c r="K2344" s="870"/>
      <c r="L2344" s="870"/>
      <c r="M2344" s="870"/>
      <c r="N2344" s="870"/>
      <c r="O2344" s="870"/>
      <c r="P2344" s="870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73"/>
      <c r="E2345" s="677"/>
      <c r="F2345" s="677"/>
      <c r="G2345" s="677"/>
      <c r="H2345" s="872"/>
      <c r="I2345" s="871"/>
      <c r="J2345" s="871"/>
      <c r="K2345" s="870"/>
      <c r="L2345" s="870"/>
      <c r="M2345" s="870"/>
      <c r="N2345" s="870"/>
      <c r="O2345" s="870"/>
      <c r="P2345" s="870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73"/>
      <c r="E2346" s="677"/>
      <c r="F2346" s="677"/>
      <c r="G2346" s="677"/>
      <c r="H2346" s="872"/>
      <c r="I2346" s="871"/>
      <c r="J2346" s="871"/>
      <c r="K2346" s="870"/>
      <c r="L2346" s="870"/>
      <c r="M2346" s="870"/>
      <c r="N2346" s="870"/>
      <c r="O2346" s="870"/>
      <c r="P2346" s="870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73"/>
      <c r="E2347" s="677"/>
      <c r="F2347" s="677"/>
      <c r="G2347" s="677"/>
      <c r="H2347" s="872"/>
      <c r="I2347" s="871"/>
      <c r="J2347" s="871"/>
      <c r="K2347" s="870"/>
      <c r="L2347" s="870"/>
      <c r="M2347" s="870"/>
      <c r="N2347" s="870"/>
      <c r="O2347" s="870"/>
      <c r="P2347" s="870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73"/>
      <c r="E2348" s="677"/>
      <c r="F2348" s="677"/>
      <c r="G2348" s="677"/>
      <c r="H2348" s="872"/>
      <c r="I2348" s="871"/>
      <c r="J2348" s="871"/>
      <c r="K2348" s="870"/>
      <c r="L2348" s="870"/>
      <c r="M2348" s="870"/>
      <c r="N2348" s="870"/>
      <c r="O2348" s="870"/>
      <c r="P2348" s="870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73"/>
      <c r="E2349" s="677"/>
      <c r="F2349" s="677"/>
      <c r="G2349" s="677"/>
      <c r="H2349" s="872"/>
      <c r="I2349" s="871"/>
      <c r="J2349" s="871"/>
      <c r="K2349" s="870"/>
      <c r="L2349" s="870"/>
      <c r="M2349" s="870"/>
      <c r="N2349" s="870"/>
      <c r="O2349" s="870"/>
      <c r="P2349" s="870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73"/>
      <c r="E2350" s="677"/>
      <c r="F2350" s="677"/>
      <c r="G2350" s="677"/>
      <c r="H2350" s="872"/>
      <c r="I2350" s="871"/>
      <c r="J2350" s="871"/>
      <c r="K2350" s="870"/>
      <c r="L2350" s="870"/>
      <c r="M2350" s="870"/>
      <c r="N2350" s="870"/>
      <c r="O2350" s="870"/>
      <c r="P2350" s="870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73"/>
      <c r="E2351" s="677"/>
      <c r="F2351" s="677"/>
      <c r="G2351" s="677"/>
      <c r="H2351" s="872"/>
      <c r="I2351" s="871"/>
      <c r="J2351" s="871"/>
      <c r="K2351" s="870"/>
      <c r="L2351" s="870"/>
      <c r="M2351" s="870"/>
      <c r="N2351" s="870"/>
      <c r="O2351" s="870"/>
      <c r="P2351" s="870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73"/>
      <c r="E2352" s="677"/>
      <c r="F2352" s="677"/>
      <c r="G2352" s="677"/>
      <c r="H2352" s="872"/>
      <c r="I2352" s="871"/>
      <c r="J2352" s="871"/>
      <c r="K2352" s="870"/>
      <c r="L2352" s="870"/>
      <c r="M2352" s="870"/>
      <c r="N2352" s="870"/>
      <c r="O2352" s="870"/>
      <c r="P2352" s="870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73"/>
      <c r="E2353" s="677"/>
      <c r="F2353" s="677"/>
      <c r="G2353" s="677"/>
      <c r="H2353" s="872"/>
      <c r="I2353" s="871"/>
      <c r="J2353" s="871"/>
      <c r="K2353" s="870"/>
      <c r="L2353" s="870"/>
      <c r="M2353" s="870"/>
      <c r="N2353" s="870"/>
      <c r="O2353" s="870"/>
      <c r="P2353" s="870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73"/>
      <c r="E2354" s="677"/>
      <c r="F2354" s="677"/>
      <c r="G2354" s="677"/>
      <c r="H2354" s="872"/>
      <c r="I2354" s="871"/>
      <c r="J2354" s="871"/>
      <c r="K2354" s="870"/>
      <c r="L2354" s="870"/>
      <c r="M2354" s="870"/>
      <c r="N2354" s="870"/>
      <c r="O2354" s="870"/>
      <c r="P2354" s="870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73"/>
      <c r="E2355" s="677"/>
      <c r="F2355" s="677"/>
      <c r="G2355" s="677"/>
      <c r="H2355" s="872"/>
      <c r="I2355" s="871"/>
      <c r="J2355" s="871"/>
      <c r="K2355" s="870"/>
      <c r="L2355" s="870"/>
      <c r="M2355" s="870"/>
      <c r="N2355" s="870"/>
      <c r="O2355" s="870"/>
      <c r="P2355" s="870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73"/>
      <c r="E2356" s="677"/>
      <c r="F2356" s="677"/>
      <c r="G2356" s="677"/>
      <c r="H2356" s="872"/>
      <c r="I2356" s="871"/>
      <c r="J2356" s="871"/>
      <c r="K2356" s="870"/>
      <c r="L2356" s="870"/>
      <c r="M2356" s="870"/>
      <c r="N2356" s="870"/>
      <c r="O2356" s="870"/>
      <c r="P2356" s="870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73"/>
      <c r="E2357" s="677"/>
      <c r="F2357" s="677"/>
      <c r="G2357" s="677"/>
      <c r="H2357" s="872"/>
      <c r="I2357" s="871"/>
      <c r="J2357" s="871"/>
      <c r="K2357" s="870"/>
      <c r="L2357" s="870"/>
      <c r="M2357" s="870"/>
      <c r="N2357" s="870"/>
      <c r="O2357" s="870"/>
      <c r="P2357" s="870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73"/>
      <c r="E2358" s="677"/>
      <c r="F2358" s="677"/>
      <c r="G2358" s="677"/>
      <c r="H2358" s="872"/>
      <c r="I2358" s="871"/>
      <c r="J2358" s="871"/>
      <c r="K2358" s="870"/>
      <c r="L2358" s="870"/>
      <c r="M2358" s="870"/>
      <c r="N2358" s="870"/>
      <c r="O2358" s="870"/>
      <c r="P2358" s="870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73"/>
      <c r="E2359" s="677"/>
      <c r="F2359" s="677"/>
      <c r="G2359" s="677"/>
      <c r="H2359" s="872"/>
      <c r="I2359" s="871"/>
      <c r="J2359" s="871"/>
      <c r="K2359" s="870"/>
      <c r="L2359" s="870"/>
      <c r="M2359" s="870"/>
      <c r="N2359" s="870"/>
      <c r="O2359" s="870"/>
      <c r="P2359" s="870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73"/>
      <c r="E2360" s="677"/>
      <c r="F2360" s="677"/>
      <c r="G2360" s="677"/>
      <c r="H2360" s="872"/>
      <c r="I2360" s="871"/>
      <c r="J2360" s="871"/>
      <c r="K2360" s="870"/>
      <c r="L2360" s="870"/>
      <c r="M2360" s="870"/>
      <c r="N2360" s="870"/>
      <c r="O2360" s="870"/>
      <c r="P2360" s="870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73"/>
      <c r="E2361" s="677"/>
      <c r="F2361" s="677"/>
      <c r="G2361" s="677"/>
      <c r="H2361" s="872"/>
      <c r="I2361" s="871"/>
      <c r="J2361" s="871"/>
      <c r="K2361" s="870"/>
      <c r="L2361" s="870"/>
      <c r="M2361" s="870"/>
      <c r="N2361" s="870"/>
      <c r="O2361" s="870"/>
      <c r="P2361" s="870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73"/>
      <c r="E2362" s="677"/>
      <c r="F2362" s="677"/>
      <c r="G2362" s="677"/>
      <c r="H2362" s="872"/>
      <c r="I2362" s="871"/>
      <c r="J2362" s="871"/>
      <c r="K2362" s="870"/>
      <c r="L2362" s="870"/>
      <c r="M2362" s="870"/>
      <c r="N2362" s="870"/>
      <c r="O2362" s="870"/>
      <c r="P2362" s="870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73"/>
      <c r="E2363" s="677"/>
      <c r="F2363" s="677"/>
      <c r="G2363" s="677"/>
      <c r="H2363" s="872"/>
      <c r="I2363" s="871"/>
      <c r="J2363" s="871"/>
      <c r="K2363" s="870"/>
      <c r="L2363" s="870"/>
      <c r="M2363" s="870"/>
      <c r="N2363" s="870"/>
      <c r="O2363" s="870"/>
      <c r="P2363" s="870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73"/>
      <c r="E2364" s="677"/>
      <c r="F2364" s="677"/>
      <c r="G2364" s="677"/>
      <c r="H2364" s="872"/>
      <c r="I2364" s="871"/>
      <c r="J2364" s="871"/>
      <c r="K2364" s="870"/>
      <c r="L2364" s="870"/>
      <c r="M2364" s="870"/>
      <c r="N2364" s="870"/>
      <c r="O2364" s="870"/>
      <c r="P2364" s="870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73"/>
      <c r="E2365" s="677"/>
      <c r="F2365" s="677"/>
      <c r="G2365" s="677"/>
      <c r="H2365" s="872"/>
      <c r="I2365" s="871"/>
      <c r="J2365" s="871"/>
      <c r="K2365" s="870"/>
      <c r="L2365" s="870"/>
      <c r="M2365" s="870"/>
      <c r="N2365" s="870"/>
      <c r="O2365" s="870"/>
      <c r="P2365" s="870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73"/>
      <c r="E2366" s="677"/>
      <c r="F2366" s="677"/>
      <c r="G2366" s="677"/>
      <c r="H2366" s="872"/>
      <c r="I2366" s="871"/>
      <c r="J2366" s="871"/>
      <c r="K2366" s="870"/>
      <c r="L2366" s="870"/>
      <c r="M2366" s="870"/>
      <c r="N2366" s="870"/>
      <c r="O2366" s="870"/>
      <c r="P2366" s="870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73"/>
      <c r="E2367" s="677"/>
      <c r="F2367" s="677"/>
      <c r="G2367" s="677"/>
      <c r="H2367" s="872"/>
      <c r="I2367" s="871"/>
      <c r="J2367" s="871"/>
      <c r="K2367" s="870"/>
      <c r="L2367" s="870"/>
      <c r="M2367" s="870"/>
      <c r="N2367" s="870"/>
      <c r="O2367" s="870"/>
      <c r="P2367" s="870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73"/>
      <c r="E2368" s="677"/>
      <c r="F2368" s="677"/>
      <c r="G2368" s="677"/>
      <c r="H2368" s="872"/>
      <c r="I2368" s="871"/>
      <c r="J2368" s="871"/>
      <c r="K2368" s="870"/>
      <c r="L2368" s="870"/>
      <c r="M2368" s="870"/>
      <c r="N2368" s="870"/>
      <c r="O2368" s="870"/>
      <c r="P2368" s="870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73"/>
      <c r="E2369" s="677"/>
      <c r="F2369" s="677"/>
      <c r="G2369" s="677"/>
      <c r="H2369" s="872"/>
      <c r="I2369" s="871"/>
      <c r="J2369" s="871"/>
      <c r="K2369" s="870"/>
      <c r="L2369" s="870"/>
      <c r="M2369" s="870"/>
      <c r="N2369" s="870"/>
      <c r="O2369" s="870"/>
      <c r="P2369" s="870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73"/>
      <c r="E2370" s="677"/>
      <c r="F2370" s="677"/>
      <c r="G2370" s="677"/>
      <c r="H2370" s="872"/>
      <c r="I2370" s="871"/>
      <c r="J2370" s="871"/>
      <c r="K2370" s="870"/>
      <c r="L2370" s="870"/>
      <c r="M2370" s="870"/>
      <c r="N2370" s="870"/>
      <c r="O2370" s="870"/>
      <c r="P2370" s="870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73"/>
      <c r="E2371" s="677"/>
      <c r="F2371" s="677"/>
      <c r="G2371" s="677"/>
      <c r="H2371" s="872"/>
      <c r="I2371" s="871"/>
      <c r="J2371" s="871"/>
      <c r="K2371" s="870"/>
      <c r="L2371" s="870"/>
      <c r="M2371" s="870"/>
      <c r="N2371" s="870"/>
      <c r="O2371" s="870"/>
      <c r="P2371" s="870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73"/>
      <c r="E2372" s="677"/>
      <c r="F2372" s="677"/>
      <c r="G2372" s="677"/>
      <c r="H2372" s="872"/>
      <c r="I2372" s="871"/>
      <c r="J2372" s="871"/>
      <c r="K2372" s="870"/>
      <c r="L2372" s="870"/>
      <c r="M2372" s="870"/>
      <c r="N2372" s="870"/>
      <c r="O2372" s="870"/>
      <c r="P2372" s="870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73"/>
      <c r="E2373" s="677"/>
      <c r="F2373" s="677"/>
      <c r="G2373" s="677"/>
      <c r="H2373" s="872"/>
      <c r="I2373" s="871"/>
      <c r="J2373" s="871"/>
      <c r="K2373" s="870"/>
      <c r="L2373" s="870"/>
      <c r="M2373" s="870"/>
      <c r="N2373" s="870"/>
      <c r="O2373" s="870"/>
      <c r="P2373" s="870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73"/>
      <c r="E2374" s="677"/>
      <c r="F2374" s="677"/>
      <c r="G2374" s="677"/>
      <c r="H2374" s="872"/>
      <c r="I2374" s="871"/>
      <c r="J2374" s="871"/>
      <c r="K2374" s="870"/>
      <c r="L2374" s="870"/>
      <c r="M2374" s="870"/>
      <c r="N2374" s="870"/>
      <c r="O2374" s="870"/>
      <c r="P2374" s="870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73"/>
      <c r="E2375" s="677"/>
      <c r="F2375" s="677"/>
      <c r="G2375" s="677"/>
      <c r="H2375" s="872"/>
      <c r="I2375" s="871"/>
      <c r="J2375" s="871"/>
      <c r="K2375" s="870"/>
      <c r="L2375" s="870"/>
      <c r="M2375" s="870"/>
      <c r="N2375" s="870"/>
      <c r="O2375" s="870"/>
      <c r="P2375" s="870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73"/>
      <c r="E2376" s="677"/>
      <c r="F2376" s="677"/>
      <c r="G2376" s="677"/>
      <c r="H2376" s="872"/>
      <c r="I2376" s="871"/>
      <c r="J2376" s="871"/>
      <c r="K2376" s="870"/>
      <c r="L2376" s="870"/>
      <c r="M2376" s="870"/>
      <c r="N2376" s="870"/>
      <c r="O2376" s="870"/>
      <c r="P2376" s="870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73"/>
      <c r="E2377" s="677"/>
      <c r="F2377" s="677"/>
      <c r="G2377" s="677"/>
      <c r="H2377" s="872"/>
      <c r="I2377" s="871"/>
      <c r="J2377" s="871"/>
      <c r="K2377" s="870"/>
      <c r="L2377" s="870"/>
      <c r="M2377" s="870"/>
      <c r="N2377" s="870"/>
      <c r="O2377" s="870"/>
      <c r="P2377" s="870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73"/>
      <c r="E2378" s="677"/>
      <c r="F2378" s="677"/>
      <c r="G2378" s="677"/>
      <c r="H2378" s="872"/>
      <c r="I2378" s="871"/>
      <c r="J2378" s="871"/>
      <c r="K2378" s="870"/>
      <c r="L2378" s="870"/>
      <c r="M2378" s="870"/>
      <c r="N2378" s="870"/>
      <c r="O2378" s="870"/>
      <c r="P2378" s="870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73"/>
      <c r="E2379" s="677"/>
      <c r="F2379" s="677"/>
      <c r="G2379" s="677"/>
      <c r="H2379" s="872"/>
      <c r="I2379" s="871"/>
      <c r="J2379" s="871"/>
      <c r="K2379" s="870"/>
      <c r="L2379" s="870"/>
      <c r="M2379" s="870"/>
      <c r="N2379" s="870"/>
      <c r="O2379" s="870"/>
      <c r="P2379" s="870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73"/>
      <c r="E2380" s="677"/>
      <c r="F2380" s="677"/>
      <c r="G2380" s="677"/>
      <c r="H2380" s="872"/>
      <c r="I2380" s="871"/>
      <c r="J2380" s="871"/>
      <c r="K2380" s="870"/>
      <c r="L2380" s="870"/>
      <c r="M2380" s="870"/>
      <c r="N2380" s="870"/>
      <c r="O2380" s="870"/>
      <c r="P2380" s="870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73"/>
      <c r="E2381" s="677"/>
      <c r="F2381" s="677"/>
      <c r="G2381" s="677"/>
      <c r="H2381" s="872"/>
      <c r="I2381" s="871"/>
      <c r="J2381" s="871"/>
      <c r="K2381" s="870"/>
      <c r="L2381" s="870"/>
      <c r="M2381" s="870"/>
      <c r="N2381" s="870"/>
      <c r="O2381" s="870"/>
      <c r="P2381" s="870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73"/>
      <c r="E2382" s="677"/>
      <c r="F2382" s="677"/>
      <c r="G2382" s="677"/>
      <c r="H2382" s="872"/>
      <c r="I2382" s="871"/>
      <c r="J2382" s="871"/>
      <c r="K2382" s="870"/>
      <c r="L2382" s="870"/>
      <c r="M2382" s="870"/>
      <c r="N2382" s="870"/>
      <c r="O2382" s="870"/>
      <c r="P2382" s="870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73"/>
      <c r="E2383" s="677"/>
      <c r="F2383" s="677"/>
      <c r="G2383" s="677"/>
      <c r="H2383" s="872"/>
      <c r="I2383" s="871"/>
      <c r="J2383" s="871"/>
      <c r="K2383" s="870"/>
      <c r="L2383" s="870"/>
      <c r="M2383" s="870"/>
      <c r="N2383" s="870"/>
      <c r="O2383" s="870"/>
      <c r="P2383" s="870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73"/>
      <c r="E2384" s="677"/>
      <c r="F2384" s="677"/>
      <c r="G2384" s="677"/>
      <c r="H2384" s="872"/>
      <c r="I2384" s="871"/>
      <c r="J2384" s="871"/>
      <c r="K2384" s="870"/>
      <c r="L2384" s="870"/>
      <c r="M2384" s="870"/>
      <c r="N2384" s="870"/>
      <c r="O2384" s="870"/>
      <c r="P2384" s="870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73"/>
      <c r="E2385" s="677"/>
      <c r="F2385" s="677"/>
      <c r="G2385" s="677"/>
      <c r="H2385" s="872"/>
      <c r="I2385" s="871"/>
      <c r="J2385" s="871"/>
      <c r="K2385" s="870"/>
      <c r="L2385" s="870"/>
      <c r="M2385" s="870"/>
      <c r="N2385" s="870"/>
      <c r="O2385" s="870"/>
      <c r="P2385" s="870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73"/>
      <c r="E2386" s="677"/>
      <c r="F2386" s="677"/>
      <c r="G2386" s="677"/>
      <c r="H2386" s="872"/>
      <c r="I2386" s="871"/>
      <c r="J2386" s="871"/>
      <c r="K2386" s="870"/>
      <c r="L2386" s="870"/>
      <c r="M2386" s="870"/>
      <c r="N2386" s="870"/>
      <c r="O2386" s="870"/>
      <c r="P2386" s="870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73"/>
      <c r="E2387" s="677"/>
      <c r="F2387" s="677"/>
      <c r="G2387" s="677"/>
      <c r="H2387" s="872"/>
      <c r="I2387" s="871"/>
      <c r="J2387" s="871"/>
      <c r="K2387" s="870"/>
      <c r="L2387" s="870"/>
      <c r="M2387" s="870"/>
      <c r="N2387" s="870"/>
      <c r="O2387" s="870"/>
      <c r="P2387" s="870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73"/>
      <c r="E2388" s="677"/>
      <c r="F2388" s="677"/>
      <c r="G2388" s="677"/>
      <c r="H2388" s="872"/>
      <c r="I2388" s="871"/>
      <c r="J2388" s="871"/>
      <c r="K2388" s="870"/>
      <c r="L2388" s="870"/>
      <c r="M2388" s="870"/>
      <c r="N2388" s="870"/>
      <c r="O2388" s="870"/>
      <c r="P2388" s="870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73"/>
      <c r="E2389" s="677"/>
      <c r="F2389" s="677"/>
      <c r="G2389" s="677"/>
      <c r="H2389" s="872"/>
      <c r="I2389" s="871"/>
      <c r="J2389" s="871"/>
      <c r="K2389" s="870"/>
      <c r="L2389" s="870"/>
      <c r="M2389" s="870"/>
      <c r="N2389" s="870"/>
      <c r="O2389" s="870"/>
      <c r="P2389" s="870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73"/>
      <c r="E2390" s="677"/>
      <c r="F2390" s="677"/>
      <c r="G2390" s="677"/>
      <c r="H2390" s="872"/>
      <c r="I2390" s="871"/>
      <c r="J2390" s="871"/>
      <c r="K2390" s="870"/>
      <c r="L2390" s="870"/>
      <c r="M2390" s="870"/>
      <c r="N2390" s="870"/>
      <c r="O2390" s="870"/>
      <c r="P2390" s="870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73"/>
      <c r="E2391" s="677"/>
      <c r="F2391" s="677"/>
      <c r="G2391" s="677"/>
      <c r="H2391" s="872"/>
      <c r="I2391" s="871"/>
      <c r="J2391" s="871"/>
      <c r="K2391" s="870"/>
      <c r="L2391" s="870"/>
      <c r="M2391" s="870"/>
      <c r="N2391" s="870"/>
      <c r="O2391" s="870"/>
      <c r="P2391" s="870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73"/>
      <c r="E2392" s="677"/>
      <c r="F2392" s="677"/>
      <c r="G2392" s="677"/>
      <c r="H2392" s="872"/>
      <c r="I2392" s="871"/>
      <c r="J2392" s="871"/>
      <c r="K2392" s="870"/>
      <c r="L2392" s="870"/>
      <c r="M2392" s="870"/>
      <c r="N2392" s="870"/>
      <c r="O2392" s="870"/>
      <c r="P2392" s="870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73"/>
      <c r="E2393" s="677"/>
      <c r="F2393" s="677"/>
      <c r="G2393" s="677"/>
      <c r="H2393" s="872"/>
      <c r="I2393" s="871"/>
      <c r="J2393" s="871"/>
      <c r="K2393" s="870"/>
      <c r="L2393" s="870"/>
      <c r="M2393" s="870"/>
      <c r="N2393" s="870"/>
      <c r="O2393" s="870"/>
      <c r="P2393" s="870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73"/>
      <c r="E2394" s="677"/>
      <c r="F2394" s="677"/>
      <c r="G2394" s="677"/>
      <c r="H2394" s="872"/>
      <c r="I2394" s="871"/>
      <c r="J2394" s="871"/>
      <c r="K2394" s="870"/>
      <c r="L2394" s="870"/>
      <c r="M2394" s="870"/>
      <c r="N2394" s="870"/>
      <c r="O2394" s="870"/>
      <c r="P2394" s="870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73"/>
      <c r="E2395" s="677"/>
      <c r="F2395" s="677"/>
      <c r="G2395" s="677"/>
      <c r="H2395" s="872"/>
      <c r="I2395" s="871"/>
      <c r="J2395" s="871"/>
      <c r="K2395" s="870"/>
      <c r="L2395" s="870"/>
      <c r="M2395" s="870"/>
      <c r="N2395" s="870"/>
      <c r="O2395" s="870"/>
      <c r="P2395" s="870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73"/>
      <c r="E2396" s="677"/>
      <c r="F2396" s="677"/>
      <c r="G2396" s="677"/>
      <c r="H2396" s="872"/>
      <c r="I2396" s="871"/>
      <c r="J2396" s="871"/>
      <c r="K2396" s="870"/>
      <c r="L2396" s="870"/>
      <c r="M2396" s="870"/>
      <c r="N2396" s="870"/>
      <c r="O2396" s="870"/>
      <c r="P2396" s="870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73"/>
      <c r="E2397" s="677"/>
      <c r="F2397" s="677"/>
      <c r="G2397" s="677"/>
      <c r="H2397" s="872"/>
      <c r="I2397" s="871"/>
      <c r="J2397" s="871"/>
      <c r="K2397" s="870"/>
      <c r="L2397" s="870"/>
      <c r="M2397" s="870"/>
      <c r="N2397" s="870"/>
      <c r="O2397" s="870"/>
      <c r="P2397" s="870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73"/>
      <c r="E2398" s="677"/>
      <c r="F2398" s="677"/>
      <c r="G2398" s="677"/>
      <c r="H2398" s="872"/>
      <c r="I2398" s="871"/>
      <c r="J2398" s="871"/>
      <c r="K2398" s="870"/>
      <c r="L2398" s="870"/>
      <c r="M2398" s="870"/>
      <c r="N2398" s="870"/>
      <c r="O2398" s="870"/>
      <c r="P2398" s="870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73"/>
      <c r="E2399" s="677"/>
      <c r="F2399" s="677"/>
      <c r="G2399" s="677"/>
      <c r="H2399" s="872"/>
      <c r="I2399" s="871"/>
      <c r="J2399" s="871"/>
      <c r="K2399" s="870"/>
      <c r="L2399" s="870"/>
      <c r="M2399" s="870"/>
      <c r="N2399" s="870"/>
      <c r="O2399" s="870"/>
      <c r="P2399" s="870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73"/>
      <c r="E2400" s="677"/>
      <c r="F2400" s="677"/>
      <c r="G2400" s="677"/>
      <c r="H2400" s="872"/>
      <c r="I2400" s="871"/>
      <c r="J2400" s="871"/>
      <c r="K2400" s="870"/>
      <c r="L2400" s="870"/>
      <c r="M2400" s="870"/>
      <c r="N2400" s="870"/>
      <c r="O2400" s="870"/>
      <c r="P2400" s="870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73"/>
      <c r="E2401" s="677"/>
      <c r="F2401" s="677"/>
      <c r="G2401" s="677"/>
      <c r="H2401" s="872"/>
      <c r="I2401" s="871"/>
      <c r="J2401" s="871"/>
      <c r="K2401" s="870"/>
      <c r="L2401" s="870"/>
      <c r="M2401" s="870"/>
      <c r="N2401" s="870"/>
      <c r="O2401" s="870"/>
      <c r="P2401" s="870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73"/>
      <c r="E2402" s="677"/>
      <c r="F2402" s="677"/>
      <c r="G2402" s="677"/>
      <c r="H2402" s="872"/>
      <c r="I2402" s="871"/>
      <c r="J2402" s="871"/>
      <c r="K2402" s="870"/>
      <c r="L2402" s="870"/>
      <c r="M2402" s="870"/>
      <c r="N2402" s="870"/>
      <c r="O2402" s="870"/>
      <c r="P2402" s="870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73"/>
      <c r="E2403" s="677"/>
      <c r="F2403" s="677"/>
      <c r="G2403" s="677"/>
      <c r="H2403" s="872"/>
      <c r="I2403" s="871"/>
      <c r="J2403" s="871"/>
      <c r="K2403" s="870"/>
      <c r="L2403" s="870"/>
      <c r="M2403" s="870"/>
      <c r="N2403" s="870"/>
      <c r="O2403" s="870"/>
      <c r="P2403" s="870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73"/>
      <c r="E2404" s="677"/>
      <c r="F2404" s="677"/>
      <c r="G2404" s="677"/>
      <c r="H2404" s="872"/>
      <c r="I2404" s="871"/>
      <c r="J2404" s="871"/>
      <c r="K2404" s="870"/>
      <c r="L2404" s="870"/>
      <c r="M2404" s="870"/>
      <c r="N2404" s="870"/>
      <c r="O2404" s="870"/>
      <c r="P2404" s="870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73"/>
      <c r="E2405" s="677"/>
      <c r="F2405" s="677"/>
      <c r="G2405" s="677"/>
      <c r="H2405" s="872"/>
      <c r="I2405" s="871"/>
      <c r="J2405" s="871"/>
      <c r="K2405" s="870"/>
      <c r="L2405" s="870"/>
      <c r="M2405" s="870"/>
      <c r="N2405" s="870"/>
      <c r="O2405" s="870"/>
      <c r="P2405" s="870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73"/>
      <c r="E2406" s="677"/>
      <c r="F2406" s="677"/>
      <c r="G2406" s="677"/>
      <c r="H2406" s="872"/>
      <c r="I2406" s="871"/>
      <c r="J2406" s="871"/>
      <c r="K2406" s="870"/>
      <c r="L2406" s="870"/>
      <c r="M2406" s="870"/>
      <c r="N2406" s="870"/>
      <c r="O2406" s="870"/>
      <c r="P2406" s="870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73"/>
      <c r="E2407" s="677"/>
      <c r="F2407" s="677"/>
      <c r="G2407" s="677"/>
      <c r="H2407" s="872"/>
      <c r="I2407" s="871"/>
      <c r="J2407" s="871"/>
      <c r="K2407" s="870"/>
      <c r="L2407" s="870"/>
      <c r="M2407" s="870"/>
      <c r="N2407" s="870"/>
      <c r="O2407" s="870"/>
      <c r="P2407" s="870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73"/>
      <c r="E2408" s="677"/>
      <c r="F2408" s="677"/>
      <c r="G2408" s="677"/>
      <c r="H2408" s="872"/>
      <c r="I2408" s="871"/>
      <c r="J2408" s="871"/>
      <c r="K2408" s="870"/>
      <c r="L2408" s="870"/>
      <c r="M2408" s="870"/>
      <c r="N2408" s="870"/>
      <c r="O2408" s="870"/>
      <c r="P2408" s="870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73"/>
      <c r="E2409" s="677"/>
      <c r="F2409" s="677"/>
      <c r="G2409" s="677"/>
      <c r="H2409" s="872"/>
      <c r="I2409" s="871"/>
      <c r="J2409" s="871"/>
      <c r="K2409" s="870"/>
      <c r="L2409" s="870"/>
      <c r="M2409" s="870"/>
      <c r="N2409" s="870"/>
      <c r="O2409" s="870"/>
      <c r="P2409" s="870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73"/>
      <c r="E2410" s="677"/>
      <c r="F2410" s="677"/>
      <c r="G2410" s="677"/>
      <c r="H2410" s="872"/>
      <c r="I2410" s="871"/>
      <c r="J2410" s="871"/>
      <c r="K2410" s="870"/>
      <c r="L2410" s="870"/>
      <c r="M2410" s="870"/>
      <c r="N2410" s="870"/>
      <c r="O2410" s="870"/>
      <c r="P2410" s="870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73"/>
      <c r="E2411" s="677"/>
      <c r="F2411" s="677"/>
      <c r="G2411" s="677"/>
      <c r="H2411" s="872"/>
      <c r="I2411" s="871"/>
      <c r="J2411" s="871"/>
      <c r="K2411" s="870"/>
      <c r="L2411" s="870"/>
      <c r="M2411" s="870"/>
      <c r="N2411" s="870"/>
      <c r="O2411" s="870"/>
      <c r="P2411" s="870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73"/>
      <c r="E2412" s="677"/>
      <c r="F2412" s="677"/>
      <c r="G2412" s="677"/>
      <c r="H2412" s="872"/>
      <c r="I2412" s="871"/>
      <c r="J2412" s="871"/>
      <c r="K2412" s="870"/>
      <c r="L2412" s="870"/>
      <c r="M2412" s="870"/>
      <c r="N2412" s="870"/>
      <c r="O2412" s="870"/>
      <c r="P2412" s="870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73"/>
      <c r="E2413" s="677"/>
      <c r="F2413" s="677"/>
      <c r="G2413" s="677"/>
      <c r="H2413" s="872"/>
      <c r="I2413" s="871"/>
      <c r="J2413" s="871"/>
      <c r="K2413" s="870"/>
      <c r="L2413" s="870"/>
      <c r="M2413" s="870"/>
      <c r="N2413" s="870"/>
      <c r="O2413" s="870"/>
      <c r="P2413" s="870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73"/>
      <c r="E2414" s="677"/>
      <c r="F2414" s="677"/>
      <c r="G2414" s="677"/>
      <c r="H2414" s="872"/>
      <c r="I2414" s="871"/>
      <c r="J2414" s="871"/>
      <c r="K2414" s="870"/>
      <c r="L2414" s="870"/>
      <c r="M2414" s="870"/>
      <c r="N2414" s="870"/>
      <c r="O2414" s="870"/>
      <c r="P2414" s="870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73"/>
      <c r="E2415" s="677"/>
      <c r="F2415" s="677"/>
      <c r="G2415" s="677"/>
      <c r="H2415" s="872"/>
      <c r="I2415" s="871"/>
      <c r="J2415" s="871"/>
      <c r="K2415" s="870"/>
      <c r="L2415" s="870"/>
      <c r="M2415" s="870"/>
      <c r="N2415" s="870"/>
      <c r="O2415" s="870"/>
      <c r="P2415" s="870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73"/>
      <c r="E2416" s="677"/>
      <c r="F2416" s="677"/>
      <c r="G2416" s="677"/>
      <c r="H2416" s="872"/>
      <c r="I2416" s="871"/>
      <c r="J2416" s="871"/>
      <c r="K2416" s="870"/>
      <c r="L2416" s="870"/>
      <c r="M2416" s="870"/>
      <c r="N2416" s="870"/>
      <c r="O2416" s="870"/>
      <c r="P2416" s="870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73"/>
      <c r="E2417" s="677"/>
      <c r="F2417" s="677"/>
      <c r="G2417" s="677"/>
      <c r="H2417" s="872"/>
      <c r="I2417" s="871"/>
      <c r="J2417" s="871"/>
      <c r="K2417" s="870"/>
      <c r="L2417" s="870"/>
      <c r="M2417" s="870"/>
      <c r="N2417" s="870"/>
      <c r="O2417" s="870"/>
      <c r="P2417" s="870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73"/>
      <c r="E2418" s="677"/>
      <c r="F2418" s="677"/>
      <c r="G2418" s="677"/>
      <c r="H2418" s="872"/>
      <c r="I2418" s="871"/>
      <c r="J2418" s="871"/>
      <c r="K2418" s="870"/>
      <c r="L2418" s="870"/>
      <c r="M2418" s="870"/>
      <c r="N2418" s="870"/>
      <c r="O2418" s="870"/>
      <c r="P2418" s="870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73"/>
      <c r="E2419" s="677"/>
      <c r="F2419" s="677"/>
      <c r="G2419" s="677"/>
      <c r="H2419" s="872"/>
      <c r="I2419" s="871"/>
      <c r="J2419" s="871"/>
      <c r="K2419" s="870"/>
      <c r="L2419" s="870"/>
      <c r="M2419" s="870"/>
      <c r="N2419" s="870"/>
      <c r="O2419" s="870"/>
      <c r="P2419" s="870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73"/>
      <c r="E2420" s="677"/>
      <c r="F2420" s="677"/>
      <c r="G2420" s="677"/>
      <c r="H2420" s="872"/>
      <c r="I2420" s="871"/>
      <c r="J2420" s="871"/>
      <c r="K2420" s="870"/>
      <c r="L2420" s="870"/>
      <c r="M2420" s="870"/>
      <c r="N2420" s="870"/>
      <c r="O2420" s="870"/>
      <c r="P2420" s="870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73"/>
      <c r="E2421" s="677"/>
      <c r="F2421" s="677"/>
      <c r="G2421" s="677"/>
      <c r="H2421" s="872"/>
      <c r="I2421" s="871"/>
      <c r="J2421" s="871"/>
      <c r="K2421" s="870"/>
      <c r="L2421" s="870"/>
      <c r="M2421" s="870"/>
      <c r="N2421" s="870"/>
      <c r="O2421" s="870"/>
      <c r="P2421" s="870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73"/>
      <c r="E2422" s="677"/>
      <c r="F2422" s="677"/>
      <c r="G2422" s="677"/>
      <c r="H2422" s="872"/>
      <c r="I2422" s="871"/>
      <c r="J2422" s="871"/>
      <c r="K2422" s="870"/>
      <c r="L2422" s="870"/>
      <c r="M2422" s="870"/>
      <c r="N2422" s="870"/>
      <c r="O2422" s="870"/>
      <c r="P2422" s="870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73"/>
      <c r="E2423" s="677"/>
      <c r="F2423" s="677"/>
      <c r="G2423" s="677"/>
      <c r="H2423" s="872"/>
      <c r="I2423" s="871"/>
      <c r="J2423" s="871"/>
      <c r="K2423" s="870"/>
      <c r="L2423" s="870"/>
      <c r="M2423" s="870"/>
      <c r="N2423" s="870"/>
      <c r="O2423" s="870"/>
      <c r="P2423" s="870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73"/>
      <c r="E2424" s="677"/>
      <c r="F2424" s="677"/>
      <c r="G2424" s="677"/>
      <c r="H2424" s="872"/>
      <c r="I2424" s="871"/>
      <c r="J2424" s="871"/>
      <c r="K2424" s="870"/>
      <c r="L2424" s="870"/>
      <c r="M2424" s="870"/>
      <c r="N2424" s="870"/>
      <c r="O2424" s="870"/>
      <c r="P2424" s="870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73"/>
      <c r="E2425" s="677"/>
      <c r="F2425" s="677"/>
      <c r="G2425" s="677"/>
      <c r="H2425" s="872"/>
      <c r="I2425" s="871"/>
      <c r="J2425" s="871"/>
      <c r="K2425" s="870"/>
      <c r="L2425" s="870"/>
      <c r="M2425" s="870"/>
      <c r="N2425" s="870"/>
      <c r="O2425" s="870"/>
      <c r="P2425" s="870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73"/>
      <c r="E2426" s="677"/>
      <c r="F2426" s="677"/>
      <c r="G2426" s="677"/>
      <c r="H2426" s="872"/>
      <c r="I2426" s="871"/>
      <c r="J2426" s="871"/>
      <c r="K2426" s="870"/>
      <c r="L2426" s="870"/>
      <c r="M2426" s="870"/>
      <c r="N2426" s="870"/>
      <c r="O2426" s="870"/>
      <c r="P2426" s="870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73"/>
      <c r="E2427" s="677"/>
      <c r="F2427" s="677"/>
      <c r="G2427" s="677"/>
      <c r="H2427" s="872"/>
      <c r="I2427" s="871"/>
      <c r="J2427" s="871"/>
      <c r="K2427" s="870"/>
      <c r="L2427" s="870"/>
      <c r="M2427" s="870"/>
      <c r="N2427" s="870"/>
      <c r="O2427" s="870"/>
      <c r="P2427" s="870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73"/>
      <c r="E2428" s="677"/>
      <c r="F2428" s="677"/>
      <c r="G2428" s="677"/>
      <c r="H2428" s="872"/>
      <c r="I2428" s="871"/>
      <c r="J2428" s="871"/>
      <c r="K2428" s="870"/>
      <c r="L2428" s="870"/>
      <c r="M2428" s="870"/>
      <c r="N2428" s="870"/>
      <c r="O2428" s="870"/>
      <c r="P2428" s="870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73"/>
      <c r="E2429" s="677"/>
      <c r="F2429" s="677"/>
      <c r="G2429" s="677"/>
      <c r="H2429" s="872"/>
      <c r="I2429" s="871"/>
      <c r="J2429" s="871"/>
      <c r="K2429" s="870"/>
      <c r="L2429" s="870"/>
      <c r="M2429" s="870"/>
      <c r="N2429" s="870"/>
      <c r="O2429" s="870"/>
      <c r="P2429" s="870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73"/>
      <c r="E2430" s="677"/>
      <c r="F2430" s="677"/>
      <c r="G2430" s="677"/>
      <c r="H2430" s="872"/>
      <c r="I2430" s="871"/>
      <c r="J2430" s="871"/>
      <c r="K2430" s="870"/>
      <c r="L2430" s="870"/>
      <c r="M2430" s="870"/>
      <c r="N2430" s="870"/>
      <c r="O2430" s="870"/>
      <c r="P2430" s="870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73"/>
      <c r="E2431" s="677"/>
      <c r="F2431" s="677"/>
      <c r="G2431" s="677"/>
      <c r="H2431" s="872"/>
      <c r="I2431" s="871"/>
      <c r="J2431" s="871"/>
      <c r="K2431" s="870"/>
      <c r="L2431" s="870"/>
      <c r="M2431" s="870"/>
      <c r="N2431" s="870"/>
      <c r="O2431" s="870"/>
      <c r="P2431" s="870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73"/>
      <c r="E2432" s="677"/>
      <c r="F2432" s="677"/>
      <c r="G2432" s="677"/>
      <c r="H2432" s="872"/>
      <c r="I2432" s="871"/>
      <c r="J2432" s="871"/>
      <c r="K2432" s="870"/>
      <c r="L2432" s="870"/>
      <c r="M2432" s="870"/>
      <c r="N2432" s="870"/>
      <c r="O2432" s="870"/>
      <c r="P2432" s="870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73"/>
      <c r="E2433" s="677"/>
      <c r="F2433" s="677"/>
      <c r="G2433" s="677"/>
      <c r="H2433" s="872"/>
      <c r="I2433" s="871"/>
      <c r="J2433" s="871"/>
      <c r="K2433" s="870"/>
      <c r="L2433" s="870"/>
      <c r="M2433" s="870"/>
      <c r="N2433" s="870"/>
      <c r="O2433" s="870"/>
      <c r="P2433" s="870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73"/>
      <c r="E2434" s="677"/>
      <c r="F2434" s="677"/>
      <c r="G2434" s="677"/>
      <c r="H2434" s="872"/>
      <c r="I2434" s="871"/>
      <c r="J2434" s="871"/>
      <c r="K2434" s="870"/>
      <c r="L2434" s="870"/>
      <c r="M2434" s="870"/>
      <c r="N2434" s="870"/>
      <c r="O2434" s="870"/>
      <c r="P2434" s="870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73"/>
      <c r="E2435" s="677"/>
      <c r="F2435" s="677"/>
      <c r="G2435" s="677"/>
      <c r="H2435" s="872"/>
      <c r="I2435" s="871"/>
      <c r="J2435" s="871"/>
      <c r="K2435" s="870"/>
      <c r="L2435" s="870"/>
      <c r="M2435" s="870"/>
      <c r="N2435" s="870"/>
      <c r="O2435" s="870"/>
      <c r="P2435" s="870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73"/>
      <c r="E2436" s="677"/>
      <c r="F2436" s="677"/>
      <c r="G2436" s="677"/>
      <c r="H2436" s="872"/>
      <c r="I2436" s="871"/>
      <c r="J2436" s="871"/>
      <c r="K2436" s="870"/>
      <c r="L2436" s="870"/>
      <c r="M2436" s="870"/>
      <c r="N2436" s="870"/>
      <c r="O2436" s="870"/>
      <c r="P2436" s="870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73"/>
      <c r="E2437" s="677"/>
      <c r="F2437" s="677"/>
      <c r="G2437" s="677"/>
      <c r="H2437" s="872"/>
      <c r="I2437" s="871"/>
      <c r="J2437" s="871"/>
      <c r="K2437" s="870"/>
      <c r="L2437" s="870"/>
      <c r="M2437" s="870"/>
      <c r="N2437" s="870"/>
      <c r="O2437" s="870"/>
      <c r="P2437" s="870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73"/>
      <c r="E2438" s="677"/>
      <c r="F2438" s="677"/>
      <c r="G2438" s="677"/>
      <c r="H2438" s="872"/>
      <c r="I2438" s="871"/>
      <c r="J2438" s="871"/>
      <c r="K2438" s="870"/>
      <c r="L2438" s="870"/>
      <c r="M2438" s="870"/>
      <c r="N2438" s="870"/>
      <c r="O2438" s="870"/>
      <c r="P2438" s="870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73"/>
      <c r="E2439" s="677"/>
      <c r="F2439" s="677"/>
      <c r="G2439" s="677"/>
      <c r="H2439" s="872"/>
      <c r="I2439" s="871"/>
      <c r="J2439" s="871"/>
      <c r="K2439" s="870"/>
      <c r="L2439" s="870"/>
      <c r="M2439" s="870"/>
      <c r="N2439" s="870"/>
      <c r="O2439" s="870"/>
      <c r="P2439" s="870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73"/>
      <c r="E2440" s="677"/>
      <c r="F2440" s="677"/>
      <c r="G2440" s="677"/>
      <c r="H2440" s="872"/>
      <c r="I2440" s="871"/>
      <c r="J2440" s="871"/>
      <c r="K2440" s="870"/>
      <c r="L2440" s="870"/>
      <c r="M2440" s="870"/>
      <c r="N2440" s="870"/>
      <c r="O2440" s="870"/>
      <c r="P2440" s="870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73"/>
      <c r="E2441" s="677"/>
      <c r="F2441" s="677"/>
      <c r="G2441" s="677"/>
      <c r="H2441" s="872"/>
      <c r="I2441" s="871"/>
      <c r="J2441" s="871"/>
      <c r="K2441" s="870"/>
      <c r="L2441" s="870"/>
      <c r="M2441" s="870"/>
      <c r="N2441" s="870"/>
      <c r="O2441" s="870"/>
      <c r="P2441" s="870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73"/>
      <c r="E2442" s="677"/>
      <c r="F2442" s="677"/>
      <c r="G2442" s="677"/>
      <c r="H2442" s="872"/>
      <c r="I2442" s="871"/>
      <c r="J2442" s="871"/>
      <c r="K2442" s="870"/>
      <c r="L2442" s="870"/>
      <c r="M2442" s="870"/>
      <c r="N2442" s="870"/>
      <c r="O2442" s="870"/>
      <c r="P2442" s="870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73"/>
      <c r="E2443" s="677"/>
      <c r="F2443" s="677"/>
      <c r="G2443" s="677"/>
      <c r="H2443" s="872"/>
      <c r="I2443" s="871"/>
      <c r="J2443" s="871"/>
      <c r="K2443" s="870"/>
      <c r="L2443" s="870"/>
      <c r="M2443" s="870"/>
      <c r="N2443" s="870"/>
      <c r="O2443" s="870"/>
      <c r="P2443" s="870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73"/>
      <c r="E2444" s="677"/>
      <c r="F2444" s="677"/>
      <c r="G2444" s="677"/>
      <c r="H2444" s="872"/>
      <c r="I2444" s="871"/>
      <c r="J2444" s="871"/>
      <c r="K2444" s="870"/>
      <c r="L2444" s="870"/>
      <c r="M2444" s="870"/>
      <c r="N2444" s="870"/>
      <c r="O2444" s="870"/>
      <c r="P2444" s="870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73"/>
      <c r="E2445" s="677"/>
      <c r="F2445" s="677"/>
      <c r="G2445" s="677"/>
      <c r="H2445" s="872"/>
      <c r="I2445" s="871"/>
      <c r="J2445" s="871"/>
      <c r="K2445" s="870"/>
      <c r="L2445" s="870"/>
      <c r="M2445" s="870"/>
      <c r="N2445" s="870"/>
      <c r="O2445" s="870"/>
      <c r="P2445" s="870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73"/>
      <c r="E2446" s="677"/>
      <c r="F2446" s="677"/>
      <c r="G2446" s="677"/>
      <c r="H2446" s="872"/>
      <c r="I2446" s="871"/>
      <c r="J2446" s="871"/>
      <c r="K2446" s="870"/>
      <c r="L2446" s="870"/>
      <c r="M2446" s="870"/>
      <c r="N2446" s="870"/>
      <c r="O2446" s="870"/>
      <c r="P2446" s="870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73"/>
      <c r="E2447" s="677"/>
      <c r="F2447" s="677"/>
      <c r="G2447" s="677"/>
      <c r="H2447" s="872"/>
      <c r="I2447" s="871"/>
      <c r="J2447" s="871"/>
      <c r="K2447" s="870"/>
      <c r="L2447" s="870"/>
      <c r="M2447" s="870"/>
      <c r="N2447" s="870"/>
      <c r="O2447" s="870"/>
      <c r="P2447" s="870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73"/>
      <c r="E2448" s="677"/>
      <c r="F2448" s="677"/>
      <c r="G2448" s="677"/>
      <c r="H2448" s="872"/>
      <c r="I2448" s="871"/>
      <c r="J2448" s="871"/>
      <c r="K2448" s="870"/>
      <c r="L2448" s="870"/>
      <c r="M2448" s="870"/>
      <c r="N2448" s="870"/>
      <c r="O2448" s="870"/>
      <c r="P2448" s="870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73"/>
      <c r="E2449" s="677"/>
      <c r="F2449" s="677"/>
      <c r="G2449" s="677"/>
      <c r="H2449" s="872"/>
      <c r="I2449" s="871"/>
      <c r="J2449" s="871"/>
      <c r="K2449" s="870"/>
      <c r="L2449" s="870"/>
      <c r="M2449" s="870"/>
      <c r="N2449" s="870"/>
      <c r="O2449" s="870"/>
      <c r="P2449" s="870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73"/>
      <c r="E2450" s="677"/>
      <c r="F2450" s="677"/>
      <c r="G2450" s="677"/>
      <c r="H2450" s="872"/>
      <c r="I2450" s="871"/>
      <c r="J2450" s="871"/>
      <c r="K2450" s="870"/>
      <c r="L2450" s="870"/>
      <c r="M2450" s="870"/>
      <c r="N2450" s="870"/>
      <c r="O2450" s="870"/>
      <c r="P2450" s="870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73"/>
      <c r="E2451" s="677"/>
      <c r="F2451" s="677"/>
      <c r="G2451" s="677"/>
      <c r="H2451" s="872"/>
      <c r="I2451" s="871"/>
      <c r="J2451" s="871"/>
      <c r="K2451" s="870"/>
      <c r="L2451" s="870"/>
      <c r="M2451" s="870"/>
      <c r="N2451" s="870"/>
      <c r="O2451" s="870"/>
      <c r="P2451" s="870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73"/>
      <c r="E2452" s="677"/>
      <c r="F2452" s="677"/>
      <c r="G2452" s="677"/>
      <c r="H2452" s="872"/>
      <c r="I2452" s="871"/>
      <c r="J2452" s="871"/>
      <c r="K2452" s="870"/>
      <c r="L2452" s="870"/>
      <c r="M2452" s="870"/>
      <c r="N2452" s="870"/>
      <c r="O2452" s="870"/>
      <c r="P2452" s="870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73"/>
      <c r="E2453" s="677"/>
      <c r="F2453" s="677"/>
      <c r="G2453" s="677"/>
      <c r="H2453" s="872"/>
      <c r="I2453" s="871"/>
      <c r="J2453" s="871"/>
      <c r="K2453" s="870"/>
      <c r="L2453" s="870"/>
      <c r="M2453" s="870"/>
      <c r="N2453" s="870"/>
      <c r="O2453" s="870"/>
      <c r="P2453" s="870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73"/>
      <c r="E2454" s="677"/>
      <c r="F2454" s="677"/>
      <c r="G2454" s="677"/>
      <c r="H2454" s="872"/>
      <c r="I2454" s="871"/>
      <c r="J2454" s="871"/>
      <c r="K2454" s="870"/>
      <c r="L2454" s="870"/>
      <c r="M2454" s="870"/>
      <c r="N2454" s="870"/>
      <c r="O2454" s="870"/>
      <c r="P2454" s="870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73"/>
      <c r="E2455" s="677"/>
      <c r="F2455" s="677"/>
      <c r="G2455" s="677"/>
      <c r="H2455" s="872"/>
      <c r="I2455" s="871"/>
      <c r="J2455" s="871"/>
      <c r="K2455" s="870"/>
      <c r="L2455" s="870"/>
      <c r="M2455" s="870"/>
      <c r="N2455" s="870"/>
      <c r="O2455" s="870"/>
      <c r="P2455" s="870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73"/>
      <c r="E2456" s="677"/>
      <c r="F2456" s="677"/>
      <c r="G2456" s="677"/>
      <c r="H2456" s="872"/>
      <c r="I2456" s="871"/>
      <c r="J2456" s="871"/>
      <c r="K2456" s="870"/>
      <c r="L2456" s="870"/>
      <c r="M2456" s="870"/>
      <c r="N2456" s="870"/>
      <c r="O2456" s="870"/>
      <c r="P2456" s="870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73"/>
      <c r="E2457" s="677"/>
      <c r="F2457" s="677"/>
      <c r="G2457" s="677"/>
      <c r="H2457" s="872"/>
      <c r="I2457" s="871"/>
      <c r="J2457" s="871"/>
      <c r="K2457" s="870"/>
      <c r="L2457" s="870"/>
      <c r="M2457" s="870"/>
      <c r="N2457" s="870"/>
      <c r="O2457" s="870"/>
      <c r="P2457" s="870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73"/>
      <c r="E2458" s="677"/>
      <c r="F2458" s="677"/>
      <c r="G2458" s="677"/>
      <c r="H2458" s="872"/>
      <c r="I2458" s="871"/>
      <c r="J2458" s="871"/>
      <c r="K2458" s="870"/>
      <c r="L2458" s="870"/>
      <c r="M2458" s="870"/>
      <c r="N2458" s="870"/>
      <c r="O2458" s="870"/>
      <c r="P2458" s="870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73"/>
      <c r="E2459" s="677"/>
      <c r="F2459" s="677"/>
      <c r="G2459" s="677"/>
      <c r="H2459" s="872"/>
      <c r="I2459" s="871"/>
      <c r="J2459" s="871"/>
      <c r="K2459" s="870"/>
      <c r="L2459" s="870"/>
      <c r="M2459" s="870"/>
      <c r="N2459" s="870"/>
      <c r="O2459" s="870"/>
      <c r="P2459" s="870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73"/>
      <c r="E2460" s="677"/>
      <c r="F2460" s="677"/>
      <c r="G2460" s="677"/>
      <c r="H2460" s="872"/>
      <c r="I2460" s="871"/>
      <c r="J2460" s="871"/>
      <c r="K2460" s="870"/>
      <c r="L2460" s="870"/>
      <c r="M2460" s="870"/>
      <c r="N2460" s="870"/>
      <c r="O2460" s="870"/>
      <c r="P2460" s="870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73"/>
      <c r="E2461" s="677"/>
      <c r="F2461" s="677"/>
      <c r="G2461" s="677"/>
      <c r="H2461" s="872"/>
      <c r="I2461" s="871"/>
      <c r="J2461" s="871"/>
      <c r="K2461" s="870"/>
      <c r="L2461" s="870"/>
      <c r="M2461" s="870"/>
      <c r="N2461" s="870"/>
      <c r="O2461" s="870"/>
      <c r="P2461" s="870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73"/>
      <c r="E2462" s="677"/>
      <c r="F2462" s="677"/>
      <c r="G2462" s="677"/>
      <c r="H2462" s="872"/>
      <c r="I2462" s="871"/>
      <c r="J2462" s="871"/>
      <c r="K2462" s="870"/>
      <c r="L2462" s="870"/>
      <c r="M2462" s="870"/>
      <c r="N2462" s="870"/>
      <c r="O2462" s="870"/>
      <c r="P2462" s="870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73"/>
      <c r="E2463" s="677"/>
      <c r="F2463" s="677"/>
      <c r="G2463" s="677"/>
      <c r="H2463" s="872"/>
      <c r="I2463" s="871"/>
      <c r="J2463" s="871"/>
      <c r="K2463" s="870"/>
      <c r="L2463" s="870"/>
      <c r="M2463" s="870"/>
      <c r="N2463" s="870"/>
      <c r="O2463" s="870"/>
      <c r="P2463" s="870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73"/>
      <c r="E2464" s="677"/>
      <c r="F2464" s="677"/>
      <c r="G2464" s="677"/>
      <c r="H2464" s="872"/>
      <c r="I2464" s="871"/>
      <c r="J2464" s="871"/>
      <c r="K2464" s="870"/>
      <c r="L2464" s="870"/>
      <c r="M2464" s="870"/>
      <c r="N2464" s="870"/>
      <c r="O2464" s="870"/>
      <c r="P2464" s="870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73"/>
      <c r="E2465" s="677"/>
      <c r="F2465" s="677"/>
      <c r="G2465" s="677"/>
      <c r="H2465" s="872"/>
      <c r="I2465" s="871"/>
      <c r="J2465" s="871"/>
      <c r="K2465" s="870"/>
      <c r="L2465" s="870"/>
      <c r="M2465" s="870"/>
      <c r="N2465" s="870"/>
      <c r="O2465" s="870"/>
      <c r="P2465" s="870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73"/>
      <c r="E2466" s="677"/>
      <c r="F2466" s="677"/>
      <c r="G2466" s="677"/>
      <c r="H2466" s="872"/>
      <c r="I2466" s="871"/>
      <c r="J2466" s="871"/>
      <c r="K2466" s="870"/>
      <c r="L2466" s="870"/>
      <c r="M2466" s="870"/>
      <c r="N2466" s="870"/>
      <c r="O2466" s="870"/>
      <c r="P2466" s="870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73"/>
      <c r="E2467" s="677"/>
      <c r="F2467" s="677"/>
      <c r="G2467" s="677"/>
      <c r="H2467" s="872"/>
      <c r="I2467" s="871"/>
      <c r="J2467" s="871"/>
      <c r="K2467" s="870"/>
      <c r="L2467" s="870"/>
      <c r="M2467" s="870"/>
      <c r="N2467" s="870"/>
      <c r="O2467" s="870"/>
      <c r="P2467" s="870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73"/>
      <c r="E2468" s="677"/>
      <c r="F2468" s="677"/>
      <c r="G2468" s="677"/>
      <c r="H2468" s="872"/>
      <c r="I2468" s="871"/>
      <c r="J2468" s="871"/>
      <c r="K2468" s="870"/>
      <c r="L2468" s="870"/>
      <c r="M2468" s="870"/>
      <c r="N2468" s="870"/>
      <c r="O2468" s="870"/>
      <c r="P2468" s="870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73"/>
      <c r="E2469" s="677"/>
      <c r="F2469" s="677"/>
      <c r="G2469" s="677"/>
      <c r="H2469" s="872"/>
      <c r="I2469" s="871"/>
      <c r="J2469" s="871"/>
      <c r="K2469" s="870"/>
      <c r="L2469" s="870"/>
      <c r="M2469" s="870"/>
      <c r="N2469" s="870"/>
      <c r="O2469" s="870"/>
      <c r="P2469" s="870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73"/>
      <c r="E2470" s="677"/>
      <c r="F2470" s="677"/>
      <c r="G2470" s="677"/>
      <c r="H2470" s="872"/>
      <c r="I2470" s="871"/>
      <c r="J2470" s="871"/>
      <c r="K2470" s="870"/>
      <c r="L2470" s="870"/>
      <c r="M2470" s="870"/>
      <c r="N2470" s="870"/>
      <c r="O2470" s="870"/>
      <c r="P2470" s="870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73"/>
      <c r="E2471" s="677"/>
      <c r="F2471" s="677"/>
      <c r="G2471" s="677"/>
      <c r="H2471" s="872"/>
      <c r="I2471" s="871"/>
      <c r="J2471" s="871"/>
      <c r="K2471" s="870"/>
      <c r="L2471" s="870"/>
      <c r="M2471" s="870"/>
      <c r="N2471" s="870"/>
      <c r="O2471" s="870"/>
      <c r="P2471" s="870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73"/>
      <c r="E2472" s="677"/>
      <c r="F2472" s="677"/>
      <c r="G2472" s="677"/>
      <c r="H2472" s="872"/>
      <c r="I2472" s="871"/>
      <c r="J2472" s="871"/>
      <c r="K2472" s="870"/>
      <c r="L2472" s="870"/>
      <c r="M2472" s="870"/>
      <c r="N2472" s="870"/>
      <c r="O2472" s="870"/>
      <c r="P2472" s="870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73"/>
      <c r="E2473" s="677"/>
      <c r="F2473" s="677"/>
      <c r="G2473" s="677"/>
      <c r="H2473" s="872"/>
      <c r="I2473" s="871"/>
      <c r="J2473" s="871"/>
      <c r="K2473" s="870"/>
      <c r="L2473" s="870"/>
      <c r="M2473" s="870"/>
      <c r="N2473" s="870"/>
      <c r="O2473" s="870"/>
      <c r="P2473" s="870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73"/>
      <c r="E2474" s="677"/>
      <c r="F2474" s="677"/>
      <c r="G2474" s="677"/>
      <c r="H2474" s="872"/>
      <c r="I2474" s="871"/>
      <c r="J2474" s="871"/>
      <c r="K2474" s="870"/>
      <c r="L2474" s="870"/>
      <c r="M2474" s="870"/>
      <c r="N2474" s="870"/>
      <c r="O2474" s="870"/>
      <c r="P2474" s="870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73"/>
      <c r="E2475" s="677"/>
      <c r="F2475" s="677"/>
      <c r="G2475" s="677"/>
      <c r="H2475" s="872"/>
      <c r="I2475" s="871"/>
      <c r="J2475" s="871"/>
      <c r="K2475" s="870"/>
      <c r="L2475" s="870"/>
      <c r="M2475" s="870"/>
      <c r="N2475" s="870"/>
      <c r="O2475" s="870"/>
      <c r="P2475" s="870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73"/>
      <c r="E2476" s="677"/>
      <c r="F2476" s="677"/>
      <c r="G2476" s="677"/>
      <c r="H2476" s="872"/>
      <c r="I2476" s="871"/>
      <c r="J2476" s="871"/>
      <c r="K2476" s="870"/>
      <c r="L2476" s="870"/>
      <c r="M2476" s="870"/>
      <c r="N2476" s="870"/>
      <c r="O2476" s="870"/>
      <c r="P2476" s="870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73"/>
      <c r="E2477" s="677"/>
      <c r="F2477" s="677"/>
      <c r="G2477" s="677"/>
      <c r="H2477" s="872"/>
      <c r="I2477" s="871"/>
      <c r="J2477" s="871"/>
      <c r="K2477" s="870"/>
      <c r="L2477" s="870"/>
      <c r="M2477" s="870"/>
      <c r="N2477" s="870"/>
      <c r="O2477" s="870"/>
      <c r="P2477" s="870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73"/>
      <c r="E2478" s="677"/>
      <c r="F2478" s="677"/>
      <c r="G2478" s="677"/>
      <c r="H2478" s="872"/>
      <c r="I2478" s="871"/>
      <c r="J2478" s="871"/>
      <c r="K2478" s="870"/>
      <c r="L2478" s="870"/>
      <c r="M2478" s="870"/>
      <c r="N2478" s="870"/>
      <c r="O2478" s="870"/>
      <c r="P2478" s="870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73"/>
      <c r="E2479" s="677"/>
      <c r="F2479" s="677"/>
      <c r="G2479" s="677"/>
      <c r="H2479" s="872"/>
      <c r="I2479" s="871"/>
      <c r="J2479" s="871"/>
      <c r="K2479" s="870"/>
      <c r="L2479" s="870"/>
      <c r="M2479" s="870"/>
      <c r="N2479" s="870"/>
      <c r="O2479" s="870"/>
      <c r="P2479" s="870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73"/>
      <c r="E2480" s="677"/>
      <c r="F2480" s="677"/>
      <c r="G2480" s="677"/>
      <c r="H2480" s="872"/>
      <c r="I2480" s="871"/>
      <c r="J2480" s="871"/>
      <c r="K2480" s="870"/>
      <c r="L2480" s="870"/>
      <c r="M2480" s="870"/>
      <c r="N2480" s="870"/>
      <c r="O2480" s="870"/>
      <c r="P2480" s="870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73"/>
      <c r="E2481" s="677"/>
      <c r="F2481" s="677"/>
      <c r="G2481" s="677"/>
      <c r="H2481" s="872"/>
      <c r="I2481" s="871"/>
      <c r="J2481" s="871"/>
      <c r="K2481" s="870"/>
      <c r="L2481" s="870"/>
      <c r="M2481" s="870"/>
      <c r="N2481" s="870"/>
      <c r="O2481" s="870"/>
      <c r="P2481" s="870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73"/>
      <c r="E2482" s="677"/>
      <c r="F2482" s="677"/>
      <c r="G2482" s="677"/>
      <c r="H2482" s="872"/>
      <c r="I2482" s="871"/>
      <c r="J2482" s="871"/>
      <c r="K2482" s="870"/>
      <c r="L2482" s="870"/>
      <c r="M2482" s="870"/>
      <c r="N2482" s="870"/>
      <c r="O2482" s="870"/>
      <c r="P2482" s="870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73"/>
      <c r="E2483" s="677"/>
      <c r="F2483" s="677"/>
      <c r="G2483" s="677"/>
      <c r="H2483" s="872"/>
      <c r="I2483" s="871"/>
      <c r="J2483" s="871"/>
      <c r="K2483" s="870"/>
      <c r="L2483" s="870"/>
      <c r="M2483" s="870"/>
      <c r="N2483" s="870"/>
      <c r="O2483" s="870"/>
      <c r="P2483" s="870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73"/>
      <c r="E2484" s="677"/>
      <c r="F2484" s="677"/>
      <c r="G2484" s="677"/>
      <c r="H2484" s="872"/>
      <c r="I2484" s="871"/>
      <c r="J2484" s="871"/>
      <c r="K2484" s="870"/>
      <c r="L2484" s="870"/>
      <c r="M2484" s="870"/>
      <c r="N2484" s="870"/>
      <c r="O2484" s="870"/>
      <c r="P2484" s="870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73"/>
      <c r="E2485" s="677"/>
      <c r="F2485" s="677"/>
      <c r="G2485" s="677"/>
      <c r="H2485" s="872"/>
      <c r="I2485" s="871"/>
      <c r="J2485" s="871"/>
      <c r="K2485" s="870"/>
      <c r="L2485" s="870"/>
      <c r="M2485" s="870"/>
      <c r="N2485" s="870"/>
      <c r="O2485" s="870"/>
      <c r="P2485" s="870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73"/>
      <c r="E2486" s="677"/>
      <c r="F2486" s="677"/>
      <c r="G2486" s="677"/>
      <c r="H2486" s="872"/>
      <c r="I2486" s="871"/>
      <c r="J2486" s="871"/>
      <c r="K2486" s="870"/>
      <c r="L2486" s="870"/>
      <c r="M2486" s="870"/>
      <c r="N2486" s="870"/>
      <c r="O2486" s="870"/>
      <c r="P2486" s="870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73"/>
      <c r="E2487" s="677"/>
      <c r="F2487" s="677"/>
      <c r="G2487" s="677"/>
      <c r="H2487" s="872"/>
      <c r="I2487" s="871"/>
      <c r="J2487" s="871"/>
      <c r="K2487" s="870"/>
      <c r="L2487" s="870"/>
      <c r="M2487" s="870"/>
      <c r="N2487" s="870"/>
      <c r="O2487" s="870"/>
      <c r="P2487" s="870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73"/>
      <c r="E2488" s="677"/>
      <c r="F2488" s="677"/>
      <c r="G2488" s="677"/>
      <c r="H2488" s="872"/>
      <c r="I2488" s="871"/>
      <c r="J2488" s="871"/>
      <c r="K2488" s="870"/>
      <c r="L2488" s="870"/>
      <c r="M2488" s="870"/>
      <c r="N2488" s="870"/>
      <c r="O2488" s="870"/>
      <c r="P2488" s="870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73"/>
      <c r="E2489" s="677"/>
      <c r="F2489" s="677"/>
      <c r="G2489" s="677"/>
      <c r="H2489" s="872"/>
      <c r="I2489" s="871"/>
      <c r="J2489" s="871"/>
      <c r="K2489" s="870"/>
      <c r="L2489" s="870"/>
      <c r="M2489" s="870"/>
      <c r="N2489" s="870"/>
      <c r="O2489" s="870"/>
      <c r="P2489" s="870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73"/>
      <c r="E2490" s="677"/>
      <c r="F2490" s="677"/>
      <c r="G2490" s="677"/>
      <c r="H2490" s="872"/>
      <c r="I2490" s="871"/>
      <c r="J2490" s="871"/>
      <c r="K2490" s="870"/>
      <c r="L2490" s="870"/>
      <c r="M2490" s="870"/>
      <c r="N2490" s="870"/>
      <c r="O2490" s="870"/>
      <c r="P2490" s="870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73"/>
      <c r="E2491" s="677"/>
      <c r="F2491" s="677"/>
      <c r="G2491" s="677"/>
      <c r="H2491" s="872"/>
      <c r="I2491" s="871"/>
      <c r="J2491" s="871"/>
      <c r="K2491" s="870"/>
      <c r="L2491" s="870"/>
      <c r="M2491" s="870"/>
      <c r="N2491" s="870"/>
      <c r="O2491" s="870"/>
      <c r="P2491" s="870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73"/>
      <c r="E2492" s="677"/>
      <c r="F2492" s="677"/>
      <c r="G2492" s="677"/>
      <c r="H2492" s="872"/>
      <c r="I2492" s="871"/>
      <c r="J2492" s="871"/>
      <c r="K2492" s="870"/>
      <c r="L2492" s="870"/>
      <c r="M2492" s="870"/>
      <c r="N2492" s="870"/>
      <c r="O2492" s="870"/>
      <c r="P2492" s="870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73"/>
      <c r="E2493" s="677"/>
      <c r="F2493" s="677"/>
      <c r="G2493" s="677"/>
      <c r="H2493" s="872"/>
      <c r="I2493" s="871"/>
      <c r="J2493" s="871"/>
      <c r="K2493" s="870"/>
      <c r="L2493" s="870"/>
      <c r="M2493" s="870"/>
      <c r="N2493" s="870"/>
      <c r="O2493" s="870"/>
      <c r="P2493" s="870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73"/>
      <c r="E2494" s="677"/>
      <c r="F2494" s="677"/>
      <c r="G2494" s="677"/>
      <c r="H2494" s="872"/>
      <c r="I2494" s="871"/>
      <c r="J2494" s="871"/>
      <c r="K2494" s="870"/>
      <c r="L2494" s="870"/>
      <c r="M2494" s="870"/>
      <c r="N2494" s="870"/>
      <c r="O2494" s="870"/>
      <c r="P2494" s="870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73"/>
      <c r="E2495" s="677"/>
      <c r="F2495" s="677"/>
      <c r="G2495" s="677"/>
      <c r="H2495" s="872"/>
      <c r="I2495" s="871"/>
      <c r="J2495" s="871"/>
      <c r="K2495" s="870"/>
      <c r="L2495" s="870"/>
      <c r="M2495" s="870"/>
      <c r="N2495" s="870"/>
      <c r="O2495" s="870"/>
      <c r="P2495" s="870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73"/>
      <c r="E2496" s="677"/>
      <c r="F2496" s="677"/>
      <c r="G2496" s="677"/>
      <c r="H2496" s="872"/>
      <c r="I2496" s="871"/>
      <c r="J2496" s="871"/>
      <c r="K2496" s="870"/>
      <c r="L2496" s="870"/>
      <c r="M2496" s="870"/>
      <c r="N2496" s="870"/>
      <c r="O2496" s="870"/>
      <c r="P2496" s="870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73"/>
      <c r="E2497" s="677"/>
      <c r="F2497" s="677"/>
      <c r="G2497" s="677"/>
      <c r="H2497" s="872"/>
      <c r="I2497" s="871"/>
      <c r="J2497" s="871"/>
      <c r="K2497" s="870"/>
      <c r="L2497" s="870"/>
      <c r="M2497" s="870"/>
      <c r="N2497" s="870"/>
      <c r="O2497" s="870"/>
      <c r="P2497" s="870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73"/>
      <c r="E2498" s="677"/>
      <c r="F2498" s="677"/>
      <c r="G2498" s="677"/>
      <c r="H2498" s="872"/>
      <c r="I2498" s="871"/>
      <c r="J2498" s="871"/>
      <c r="K2498" s="870"/>
      <c r="L2498" s="870"/>
      <c r="M2498" s="870"/>
      <c r="N2498" s="870"/>
      <c r="O2498" s="870"/>
      <c r="P2498" s="870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73"/>
      <c r="E2499" s="677"/>
      <c r="F2499" s="677"/>
      <c r="G2499" s="677"/>
      <c r="H2499" s="872"/>
      <c r="I2499" s="871"/>
      <c r="J2499" s="871"/>
      <c r="K2499" s="870"/>
      <c r="L2499" s="870"/>
      <c r="M2499" s="870"/>
      <c r="N2499" s="870"/>
      <c r="O2499" s="870"/>
      <c r="P2499" s="870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73"/>
      <c r="E2500" s="677"/>
      <c r="F2500" s="677"/>
      <c r="G2500" s="677"/>
      <c r="H2500" s="872"/>
      <c r="I2500" s="871"/>
      <c r="J2500" s="871"/>
      <c r="K2500" s="870"/>
      <c r="L2500" s="870"/>
      <c r="M2500" s="870"/>
      <c r="N2500" s="870"/>
      <c r="O2500" s="870"/>
      <c r="P2500" s="870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73"/>
      <c r="E2501" s="677"/>
      <c r="F2501" s="677"/>
      <c r="G2501" s="677"/>
      <c r="H2501" s="872"/>
      <c r="I2501" s="871"/>
      <c r="J2501" s="871"/>
      <c r="K2501" s="870"/>
      <c r="L2501" s="870"/>
      <c r="M2501" s="870"/>
      <c r="N2501" s="870"/>
      <c r="O2501" s="870"/>
      <c r="P2501" s="870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73"/>
      <c r="E2502" s="677"/>
      <c r="F2502" s="677"/>
      <c r="G2502" s="677"/>
      <c r="H2502" s="872"/>
      <c r="I2502" s="871"/>
      <c r="J2502" s="871"/>
      <c r="K2502" s="870"/>
      <c r="L2502" s="870"/>
      <c r="M2502" s="870"/>
      <c r="N2502" s="870"/>
      <c r="O2502" s="870"/>
      <c r="P2502" s="870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73"/>
      <c r="E2503" s="677"/>
      <c r="F2503" s="677"/>
      <c r="G2503" s="677"/>
      <c r="H2503" s="872"/>
      <c r="I2503" s="871"/>
      <c r="J2503" s="871"/>
      <c r="K2503" s="870"/>
      <c r="L2503" s="870"/>
      <c r="M2503" s="870"/>
      <c r="N2503" s="870"/>
      <c r="O2503" s="870"/>
      <c r="P2503" s="870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73"/>
      <c r="E2504" s="677"/>
      <c r="F2504" s="677"/>
      <c r="G2504" s="677"/>
      <c r="H2504" s="872"/>
      <c r="I2504" s="871"/>
      <c r="J2504" s="871"/>
      <c r="K2504" s="870"/>
      <c r="L2504" s="870"/>
      <c r="M2504" s="870"/>
      <c r="N2504" s="870"/>
      <c r="O2504" s="870"/>
      <c r="P2504" s="870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73"/>
      <c r="E2505" s="677"/>
      <c r="F2505" s="677"/>
      <c r="G2505" s="677"/>
      <c r="H2505" s="872"/>
      <c r="I2505" s="871"/>
      <c r="J2505" s="871"/>
      <c r="K2505" s="870"/>
      <c r="L2505" s="870"/>
      <c r="M2505" s="870"/>
      <c r="N2505" s="870"/>
      <c r="O2505" s="870"/>
      <c r="P2505" s="870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73"/>
      <c r="E2506" s="677"/>
      <c r="F2506" s="677"/>
      <c r="G2506" s="677"/>
      <c r="H2506" s="872"/>
      <c r="I2506" s="871"/>
      <c r="J2506" s="871"/>
      <c r="K2506" s="870"/>
      <c r="L2506" s="870"/>
      <c r="M2506" s="870"/>
      <c r="N2506" s="870"/>
      <c r="O2506" s="870"/>
      <c r="P2506" s="870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73"/>
      <c r="E2507" s="677"/>
      <c r="F2507" s="677"/>
      <c r="G2507" s="677"/>
      <c r="H2507" s="872"/>
      <c r="I2507" s="871"/>
      <c r="J2507" s="871"/>
      <c r="K2507" s="870"/>
      <c r="L2507" s="870"/>
      <c r="M2507" s="870"/>
      <c r="N2507" s="870"/>
      <c r="O2507" s="870"/>
      <c r="P2507" s="870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73"/>
      <c r="E2508" s="677"/>
      <c r="F2508" s="677"/>
      <c r="G2508" s="677"/>
      <c r="H2508" s="872"/>
      <c r="I2508" s="871"/>
      <c r="J2508" s="871"/>
      <c r="K2508" s="870"/>
      <c r="L2508" s="870"/>
      <c r="M2508" s="870"/>
      <c r="N2508" s="870"/>
      <c r="O2508" s="870"/>
      <c r="P2508" s="870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73"/>
      <c r="E2509" s="677"/>
      <c r="F2509" s="677"/>
      <c r="G2509" s="677"/>
      <c r="H2509" s="872"/>
      <c r="I2509" s="871"/>
      <c r="J2509" s="871"/>
      <c r="K2509" s="870"/>
      <c r="L2509" s="870"/>
      <c r="M2509" s="870"/>
      <c r="N2509" s="870"/>
      <c r="O2509" s="870"/>
      <c r="P2509" s="870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73"/>
      <c r="E2510" s="677"/>
      <c r="F2510" s="677"/>
      <c r="G2510" s="677"/>
      <c r="H2510" s="872"/>
      <c r="I2510" s="871"/>
      <c r="J2510" s="871"/>
      <c r="K2510" s="870"/>
      <c r="L2510" s="870"/>
      <c r="M2510" s="870"/>
      <c r="N2510" s="870"/>
      <c r="O2510" s="870"/>
      <c r="P2510" s="870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73"/>
      <c r="E2511" s="677"/>
      <c r="F2511" s="677"/>
      <c r="G2511" s="677"/>
      <c r="H2511" s="872"/>
      <c r="I2511" s="871"/>
      <c r="J2511" s="871"/>
      <c r="K2511" s="870"/>
      <c r="L2511" s="870"/>
      <c r="M2511" s="870"/>
      <c r="N2511" s="870"/>
      <c r="O2511" s="870"/>
      <c r="P2511" s="870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73"/>
      <c r="E2512" s="677"/>
      <c r="F2512" s="677"/>
      <c r="G2512" s="677"/>
      <c r="H2512" s="872"/>
      <c r="I2512" s="871"/>
      <c r="J2512" s="871"/>
      <c r="K2512" s="870"/>
      <c r="L2512" s="870"/>
      <c r="M2512" s="870"/>
      <c r="N2512" s="870"/>
      <c r="O2512" s="870"/>
      <c r="P2512" s="870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73"/>
      <c r="E2513" s="677"/>
      <c r="F2513" s="677"/>
      <c r="G2513" s="677"/>
      <c r="H2513" s="872"/>
      <c r="I2513" s="871"/>
      <c r="J2513" s="871"/>
      <c r="K2513" s="870"/>
      <c r="L2513" s="870"/>
      <c r="M2513" s="870"/>
      <c r="N2513" s="870"/>
      <c r="O2513" s="870"/>
      <c r="P2513" s="870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73"/>
      <c r="E2514" s="677"/>
      <c r="F2514" s="677"/>
      <c r="G2514" s="677"/>
      <c r="H2514" s="872"/>
      <c r="I2514" s="871"/>
      <c r="J2514" s="871"/>
      <c r="K2514" s="870"/>
      <c r="L2514" s="870"/>
      <c r="M2514" s="870"/>
      <c r="N2514" s="870"/>
      <c r="O2514" s="870"/>
      <c r="P2514" s="870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73"/>
      <c r="E2515" s="677"/>
      <c r="F2515" s="677"/>
      <c r="G2515" s="677"/>
      <c r="H2515" s="872"/>
      <c r="I2515" s="871"/>
      <c r="J2515" s="871"/>
      <c r="K2515" s="870"/>
      <c r="L2515" s="870"/>
      <c r="M2515" s="870"/>
      <c r="N2515" s="870"/>
      <c r="O2515" s="870"/>
      <c r="P2515" s="870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73"/>
      <c r="E2516" s="677"/>
      <c r="F2516" s="677"/>
      <c r="G2516" s="677"/>
      <c r="H2516" s="872"/>
      <c r="I2516" s="871"/>
      <c r="J2516" s="871"/>
      <c r="K2516" s="870"/>
      <c r="L2516" s="870"/>
      <c r="M2516" s="870"/>
      <c r="N2516" s="870"/>
      <c r="O2516" s="870"/>
      <c r="P2516" s="870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73"/>
      <c r="E2517" s="677"/>
      <c r="F2517" s="677"/>
      <c r="G2517" s="677"/>
      <c r="H2517" s="872"/>
      <c r="I2517" s="871"/>
      <c r="J2517" s="871"/>
      <c r="K2517" s="870"/>
      <c r="L2517" s="870"/>
      <c r="M2517" s="870"/>
      <c r="N2517" s="870"/>
      <c r="O2517" s="870"/>
      <c r="P2517" s="870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73"/>
      <c r="E2518" s="677"/>
      <c r="F2518" s="677"/>
      <c r="G2518" s="677"/>
      <c r="H2518" s="872"/>
      <c r="I2518" s="871"/>
      <c r="J2518" s="871"/>
      <c r="K2518" s="870"/>
      <c r="L2518" s="870"/>
      <c r="M2518" s="870"/>
      <c r="N2518" s="870"/>
      <c r="O2518" s="870"/>
      <c r="P2518" s="870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73"/>
      <c r="E2519" s="677"/>
      <c r="F2519" s="677"/>
      <c r="G2519" s="677"/>
      <c r="H2519" s="872"/>
      <c r="I2519" s="871"/>
      <c r="J2519" s="871"/>
      <c r="K2519" s="870"/>
      <c r="L2519" s="870"/>
      <c r="M2519" s="870"/>
      <c r="N2519" s="870"/>
      <c r="O2519" s="870"/>
      <c r="P2519" s="870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73"/>
      <c r="E2520" s="677"/>
      <c r="F2520" s="677"/>
      <c r="G2520" s="677"/>
      <c r="H2520" s="872"/>
      <c r="I2520" s="871"/>
      <c r="J2520" s="871"/>
      <c r="K2520" s="870"/>
      <c r="L2520" s="870"/>
      <c r="M2520" s="870"/>
      <c r="N2520" s="870"/>
      <c r="O2520" s="870"/>
      <c r="P2520" s="870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73"/>
      <c r="E2521" s="677"/>
      <c r="F2521" s="677"/>
      <c r="G2521" s="677"/>
      <c r="H2521" s="872"/>
      <c r="I2521" s="871"/>
      <c r="J2521" s="871"/>
      <c r="K2521" s="870"/>
      <c r="L2521" s="870"/>
      <c r="M2521" s="870"/>
      <c r="N2521" s="870"/>
      <c r="O2521" s="870"/>
      <c r="P2521" s="870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73"/>
      <c r="E2522" s="677"/>
      <c r="F2522" s="677"/>
      <c r="G2522" s="677"/>
      <c r="H2522" s="872"/>
      <c r="I2522" s="871"/>
      <c r="J2522" s="871"/>
      <c r="K2522" s="870"/>
      <c r="L2522" s="870"/>
      <c r="M2522" s="870"/>
      <c r="N2522" s="870"/>
      <c r="O2522" s="870"/>
      <c r="P2522" s="870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73"/>
      <c r="E2523" s="677"/>
      <c r="F2523" s="677"/>
      <c r="G2523" s="677"/>
      <c r="H2523" s="872"/>
      <c r="I2523" s="871"/>
      <c r="J2523" s="871"/>
      <c r="K2523" s="870"/>
      <c r="L2523" s="870"/>
      <c r="M2523" s="870"/>
      <c r="N2523" s="870"/>
      <c r="O2523" s="870"/>
      <c r="P2523" s="870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73"/>
      <c r="E2524" s="677"/>
      <c r="F2524" s="677"/>
      <c r="G2524" s="677"/>
      <c r="H2524" s="872"/>
      <c r="I2524" s="871"/>
      <c r="J2524" s="871"/>
      <c r="K2524" s="870"/>
      <c r="L2524" s="870"/>
      <c r="M2524" s="870"/>
      <c r="N2524" s="870"/>
      <c r="O2524" s="870"/>
      <c r="P2524" s="870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73"/>
      <c r="E2525" s="677"/>
      <c r="F2525" s="677"/>
      <c r="G2525" s="677"/>
      <c r="H2525" s="872"/>
      <c r="I2525" s="871"/>
      <c r="J2525" s="871"/>
      <c r="K2525" s="870"/>
      <c r="L2525" s="870"/>
      <c r="M2525" s="870"/>
      <c r="N2525" s="870"/>
      <c r="O2525" s="870"/>
      <c r="P2525" s="870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73"/>
      <c r="E2526" s="677"/>
      <c r="F2526" s="677"/>
      <c r="G2526" s="677"/>
      <c r="H2526" s="872"/>
      <c r="I2526" s="871"/>
      <c r="J2526" s="871"/>
      <c r="K2526" s="870"/>
      <c r="L2526" s="870"/>
      <c r="M2526" s="870"/>
      <c r="N2526" s="870"/>
      <c r="O2526" s="870"/>
      <c r="P2526" s="870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73"/>
      <c r="E2527" s="677"/>
      <c r="F2527" s="677"/>
      <c r="G2527" s="677"/>
      <c r="H2527" s="872"/>
      <c r="I2527" s="871"/>
      <c r="J2527" s="871"/>
      <c r="K2527" s="870"/>
      <c r="L2527" s="870"/>
      <c r="M2527" s="870"/>
      <c r="N2527" s="870"/>
      <c r="O2527" s="870"/>
      <c r="P2527" s="870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73"/>
      <c r="E2528" s="677"/>
      <c r="F2528" s="677"/>
      <c r="G2528" s="677"/>
      <c r="H2528" s="872"/>
      <c r="I2528" s="871"/>
      <c r="J2528" s="871"/>
      <c r="K2528" s="870"/>
      <c r="L2528" s="870"/>
      <c r="M2528" s="870"/>
      <c r="N2528" s="870"/>
      <c r="O2528" s="870"/>
      <c r="P2528" s="870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73"/>
      <c r="E2529" s="677"/>
      <c r="F2529" s="677"/>
      <c r="G2529" s="677"/>
      <c r="H2529" s="872"/>
      <c r="I2529" s="871"/>
      <c r="J2529" s="871"/>
      <c r="K2529" s="870"/>
      <c r="L2529" s="870"/>
      <c r="M2529" s="870"/>
      <c r="N2529" s="870"/>
      <c r="O2529" s="870"/>
      <c r="P2529" s="870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73"/>
      <c r="E2530" s="677"/>
      <c r="F2530" s="677"/>
      <c r="G2530" s="677"/>
      <c r="H2530" s="872"/>
      <c r="I2530" s="871"/>
      <c r="J2530" s="871"/>
      <c r="K2530" s="870"/>
      <c r="L2530" s="870"/>
      <c r="M2530" s="870"/>
      <c r="N2530" s="870"/>
      <c r="O2530" s="870"/>
      <c r="P2530" s="870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73"/>
      <c r="E2531" s="677"/>
      <c r="F2531" s="677"/>
      <c r="G2531" s="677"/>
      <c r="H2531" s="872"/>
      <c r="I2531" s="871"/>
      <c r="J2531" s="871"/>
      <c r="K2531" s="870"/>
      <c r="L2531" s="870"/>
      <c r="M2531" s="870"/>
      <c r="N2531" s="870"/>
      <c r="O2531" s="870"/>
      <c r="P2531" s="870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73"/>
      <c r="E2532" s="677"/>
      <c r="F2532" s="677"/>
      <c r="G2532" s="677"/>
      <c r="H2532" s="872"/>
      <c r="I2532" s="871"/>
      <c r="J2532" s="871"/>
      <c r="K2532" s="870"/>
      <c r="L2532" s="870"/>
      <c r="M2532" s="870"/>
      <c r="N2532" s="870"/>
      <c r="O2532" s="870"/>
      <c r="P2532" s="870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73"/>
      <c r="E2533" s="677"/>
      <c r="F2533" s="677"/>
      <c r="G2533" s="677"/>
      <c r="H2533" s="872"/>
      <c r="I2533" s="871"/>
      <c r="J2533" s="871"/>
      <c r="K2533" s="870"/>
      <c r="L2533" s="870"/>
      <c r="M2533" s="870"/>
      <c r="N2533" s="870"/>
      <c r="O2533" s="870"/>
      <c r="P2533" s="870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73"/>
      <c r="E2534" s="677"/>
      <c r="F2534" s="677"/>
      <c r="G2534" s="677"/>
      <c r="H2534" s="872"/>
      <c r="I2534" s="871"/>
      <c r="J2534" s="871"/>
      <c r="K2534" s="870"/>
      <c r="L2534" s="870"/>
      <c r="M2534" s="870"/>
      <c r="N2534" s="870"/>
      <c r="O2534" s="870"/>
      <c r="P2534" s="870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73"/>
      <c r="E2535" s="677"/>
      <c r="F2535" s="677"/>
      <c r="G2535" s="677"/>
      <c r="H2535" s="872"/>
      <c r="I2535" s="871"/>
      <c r="J2535" s="871"/>
      <c r="K2535" s="870"/>
      <c r="L2535" s="870"/>
      <c r="M2535" s="870"/>
      <c r="N2535" s="870"/>
      <c r="O2535" s="870"/>
      <c r="P2535" s="870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73"/>
      <c r="E2536" s="677"/>
      <c r="F2536" s="677"/>
      <c r="G2536" s="677"/>
      <c r="H2536" s="872"/>
      <c r="I2536" s="871"/>
      <c r="J2536" s="871"/>
      <c r="K2536" s="870"/>
      <c r="L2536" s="870"/>
      <c r="M2536" s="870"/>
      <c r="N2536" s="870"/>
      <c r="O2536" s="870"/>
      <c r="P2536" s="870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73"/>
      <c r="E2537" s="677"/>
      <c r="F2537" s="677"/>
      <c r="G2537" s="677"/>
      <c r="H2537" s="872"/>
      <c r="I2537" s="871"/>
      <c r="J2537" s="871"/>
      <c r="K2537" s="870"/>
      <c r="L2537" s="870"/>
      <c r="M2537" s="870"/>
      <c r="N2537" s="870"/>
      <c r="O2537" s="870"/>
      <c r="P2537" s="870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73"/>
      <c r="E2538" s="677"/>
      <c r="F2538" s="677"/>
      <c r="G2538" s="677"/>
      <c r="H2538" s="872"/>
      <c r="I2538" s="871"/>
      <c r="J2538" s="871"/>
      <c r="K2538" s="870"/>
      <c r="L2538" s="870"/>
      <c r="M2538" s="870"/>
      <c r="N2538" s="870"/>
      <c r="O2538" s="870"/>
      <c r="P2538" s="870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73"/>
      <c r="E2539" s="677"/>
      <c r="F2539" s="677"/>
      <c r="G2539" s="677"/>
      <c r="H2539" s="872"/>
      <c r="I2539" s="871"/>
      <c r="J2539" s="871"/>
      <c r="K2539" s="870"/>
      <c r="L2539" s="870"/>
      <c r="M2539" s="870"/>
      <c r="N2539" s="870"/>
      <c r="O2539" s="870"/>
      <c r="P2539" s="870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73"/>
      <c r="E2540" s="677"/>
      <c r="F2540" s="677"/>
      <c r="G2540" s="677"/>
      <c r="H2540" s="872"/>
      <c r="I2540" s="871"/>
      <c r="J2540" s="871"/>
      <c r="K2540" s="870"/>
      <c r="L2540" s="870"/>
      <c r="M2540" s="870"/>
      <c r="N2540" s="870"/>
      <c r="O2540" s="870"/>
      <c r="P2540" s="870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73"/>
      <c r="E2541" s="677"/>
      <c r="F2541" s="677"/>
      <c r="G2541" s="677"/>
      <c r="H2541" s="872"/>
      <c r="I2541" s="871"/>
      <c r="J2541" s="871"/>
      <c r="K2541" s="870"/>
      <c r="L2541" s="870"/>
      <c r="M2541" s="870"/>
      <c r="N2541" s="870"/>
      <c r="O2541" s="870"/>
      <c r="P2541" s="870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73"/>
      <c r="E2542" s="677"/>
      <c r="F2542" s="677"/>
      <c r="G2542" s="677"/>
      <c r="H2542" s="872"/>
      <c r="I2542" s="871"/>
      <c r="J2542" s="871"/>
      <c r="K2542" s="870"/>
      <c r="L2542" s="870"/>
      <c r="M2542" s="870"/>
      <c r="N2542" s="870"/>
      <c r="O2542" s="870"/>
      <c r="P2542" s="870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73"/>
      <c r="E2543" s="677"/>
      <c r="F2543" s="677"/>
      <c r="G2543" s="677"/>
      <c r="H2543" s="872"/>
      <c r="I2543" s="871"/>
      <c r="J2543" s="871"/>
      <c r="K2543" s="870"/>
      <c r="L2543" s="870"/>
      <c r="M2543" s="870"/>
      <c r="N2543" s="870"/>
      <c r="O2543" s="870"/>
      <c r="P2543" s="870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73"/>
      <c r="E2544" s="677"/>
      <c r="F2544" s="677"/>
      <c r="G2544" s="677"/>
      <c r="H2544" s="872"/>
      <c r="I2544" s="871"/>
      <c r="J2544" s="871"/>
      <c r="K2544" s="870"/>
      <c r="L2544" s="870"/>
      <c r="M2544" s="870"/>
      <c r="N2544" s="870"/>
      <c r="O2544" s="870"/>
      <c r="P2544" s="870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73"/>
      <c r="E2545" s="677"/>
      <c r="F2545" s="677"/>
      <c r="G2545" s="677"/>
      <c r="H2545" s="872"/>
      <c r="I2545" s="871"/>
      <c r="J2545" s="871"/>
      <c r="K2545" s="870"/>
      <c r="L2545" s="870"/>
      <c r="M2545" s="870"/>
      <c r="N2545" s="870"/>
      <c r="O2545" s="870"/>
      <c r="P2545" s="870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73"/>
      <c r="E2546" s="677"/>
      <c r="F2546" s="677"/>
      <c r="G2546" s="677"/>
      <c r="H2546" s="872"/>
      <c r="I2546" s="871"/>
      <c r="J2546" s="871"/>
      <c r="K2546" s="870"/>
      <c r="L2546" s="870"/>
      <c r="M2546" s="870"/>
      <c r="N2546" s="870"/>
      <c r="O2546" s="870"/>
      <c r="P2546" s="870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73"/>
      <c r="E2547" s="677"/>
      <c r="F2547" s="677"/>
      <c r="G2547" s="677"/>
      <c r="H2547" s="872"/>
      <c r="I2547" s="871"/>
      <c r="J2547" s="871"/>
      <c r="K2547" s="870"/>
      <c r="L2547" s="870"/>
      <c r="M2547" s="870"/>
      <c r="N2547" s="870"/>
      <c r="O2547" s="870"/>
      <c r="P2547" s="870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73"/>
      <c r="E2548" s="677"/>
      <c r="F2548" s="677"/>
      <c r="G2548" s="677"/>
      <c r="H2548" s="872"/>
      <c r="I2548" s="871"/>
      <c r="J2548" s="871"/>
      <c r="K2548" s="870"/>
      <c r="L2548" s="870"/>
      <c r="M2548" s="870"/>
      <c r="N2548" s="870"/>
      <c r="O2548" s="870"/>
      <c r="P2548" s="870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73"/>
      <c r="E2549" s="677"/>
      <c r="F2549" s="677"/>
      <c r="G2549" s="677"/>
      <c r="H2549" s="872"/>
      <c r="I2549" s="871"/>
      <c r="J2549" s="871"/>
      <c r="K2549" s="870"/>
      <c r="L2549" s="870"/>
      <c r="M2549" s="870"/>
      <c r="N2549" s="870"/>
      <c r="O2549" s="870"/>
      <c r="P2549" s="870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73"/>
      <c r="E2550" s="677"/>
      <c r="F2550" s="677"/>
      <c r="G2550" s="677"/>
      <c r="H2550" s="872"/>
      <c r="I2550" s="871"/>
      <c r="J2550" s="871"/>
      <c r="K2550" s="870"/>
      <c r="L2550" s="870"/>
      <c r="M2550" s="870"/>
      <c r="N2550" s="870"/>
      <c r="O2550" s="870"/>
      <c r="P2550" s="870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73"/>
      <c r="E2551" s="677"/>
      <c r="F2551" s="677"/>
      <c r="G2551" s="677"/>
      <c r="H2551" s="872"/>
      <c r="I2551" s="871"/>
      <c r="J2551" s="871"/>
      <c r="K2551" s="870"/>
      <c r="L2551" s="870"/>
      <c r="M2551" s="870"/>
      <c r="N2551" s="870"/>
      <c r="O2551" s="870"/>
      <c r="P2551" s="870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73"/>
      <c r="E2552" s="677"/>
      <c r="F2552" s="677"/>
      <c r="G2552" s="677"/>
      <c r="H2552" s="872"/>
      <c r="I2552" s="871"/>
      <c r="J2552" s="871"/>
      <c r="K2552" s="870"/>
      <c r="L2552" s="870"/>
      <c r="M2552" s="870"/>
      <c r="N2552" s="870"/>
      <c r="O2552" s="870"/>
      <c r="P2552" s="870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73"/>
      <c r="E2553" s="677"/>
      <c r="F2553" s="677"/>
      <c r="G2553" s="677"/>
      <c r="H2553" s="872"/>
      <c r="I2553" s="871"/>
      <c r="J2553" s="871"/>
      <c r="K2553" s="870"/>
      <c r="L2553" s="870"/>
      <c r="M2553" s="870"/>
      <c r="N2553" s="870"/>
      <c r="O2553" s="870"/>
      <c r="P2553" s="870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73"/>
      <c r="E2554" s="677"/>
      <c r="F2554" s="677"/>
      <c r="G2554" s="677"/>
      <c r="H2554" s="872"/>
      <c r="I2554" s="871"/>
      <c r="J2554" s="871"/>
      <c r="K2554" s="870"/>
      <c r="L2554" s="870"/>
      <c r="M2554" s="870"/>
      <c r="N2554" s="870"/>
      <c r="O2554" s="870"/>
      <c r="P2554" s="870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73"/>
      <c r="E2555" s="677"/>
      <c r="F2555" s="677"/>
      <c r="G2555" s="677"/>
      <c r="H2555" s="872"/>
      <c r="I2555" s="871"/>
      <c r="J2555" s="871"/>
      <c r="K2555" s="870"/>
      <c r="L2555" s="870"/>
      <c r="M2555" s="870"/>
      <c r="N2555" s="870"/>
      <c r="O2555" s="870"/>
      <c r="P2555" s="870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73"/>
      <c r="E2556" s="677"/>
      <c r="F2556" s="677"/>
      <c r="G2556" s="677"/>
      <c r="H2556" s="872"/>
      <c r="I2556" s="871"/>
      <c r="J2556" s="871"/>
      <c r="K2556" s="870"/>
      <c r="L2556" s="870"/>
      <c r="M2556" s="870"/>
      <c r="N2556" s="870"/>
      <c r="O2556" s="870"/>
      <c r="P2556" s="870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73"/>
      <c r="E2557" s="677"/>
      <c r="F2557" s="677"/>
      <c r="G2557" s="677"/>
      <c r="H2557" s="872"/>
      <c r="I2557" s="871"/>
      <c r="J2557" s="871"/>
      <c r="K2557" s="870"/>
      <c r="L2557" s="870"/>
      <c r="M2557" s="870"/>
      <c r="N2557" s="870"/>
      <c r="O2557" s="870"/>
      <c r="P2557" s="870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73"/>
      <c r="E2558" s="677"/>
      <c r="F2558" s="677"/>
      <c r="G2558" s="677"/>
      <c r="H2558" s="872"/>
      <c r="I2558" s="871"/>
      <c r="J2558" s="871"/>
      <c r="K2558" s="870"/>
      <c r="L2558" s="870"/>
      <c r="M2558" s="870"/>
      <c r="N2558" s="870"/>
      <c r="O2558" s="870"/>
      <c r="P2558" s="870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73"/>
      <c r="E2559" s="677"/>
      <c r="F2559" s="677"/>
      <c r="G2559" s="677"/>
      <c r="H2559" s="872"/>
      <c r="I2559" s="871"/>
      <c r="J2559" s="871"/>
      <c r="K2559" s="870"/>
      <c r="L2559" s="870"/>
      <c r="M2559" s="870"/>
      <c r="N2559" s="870"/>
      <c r="O2559" s="870"/>
      <c r="P2559" s="870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73"/>
      <c r="E2560" s="677"/>
      <c r="F2560" s="677"/>
      <c r="G2560" s="677"/>
      <c r="H2560" s="872"/>
      <c r="I2560" s="871"/>
      <c r="J2560" s="871"/>
      <c r="K2560" s="870"/>
      <c r="L2560" s="870"/>
      <c r="M2560" s="870"/>
      <c r="N2560" s="870"/>
      <c r="O2560" s="870"/>
      <c r="P2560" s="870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73"/>
      <c r="E2561" s="677"/>
      <c r="F2561" s="677"/>
      <c r="G2561" s="677"/>
      <c r="H2561" s="872"/>
      <c r="I2561" s="871"/>
      <c r="J2561" s="871"/>
      <c r="K2561" s="870"/>
      <c r="L2561" s="870"/>
      <c r="M2561" s="870"/>
      <c r="N2561" s="870"/>
      <c r="O2561" s="870"/>
      <c r="P2561" s="870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73"/>
      <c r="E2562" s="677"/>
      <c r="F2562" s="677"/>
      <c r="G2562" s="677"/>
      <c r="H2562" s="872"/>
      <c r="I2562" s="871"/>
      <c r="J2562" s="871"/>
      <c r="K2562" s="870"/>
      <c r="L2562" s="870"/>
      <c r="M2562" s="870"/>
      <c r="N2562" s="870"/>
      <c r="O2562" s="870"/>
      <c r="P2562" s="870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73"/>
      <c r="E2563" s="677"/>
      <c r="F2563" s="677"/>
      <c r="G2563" s="677"/>
      <c r="H2563" s="872"/>
      <c r="I2563" s="871"/>
      <c r="J2563" s="871"/>
      <c r="K2563" s="870"/>
      <c r="L2563" s="870"/>
      <c r="M2563" s="870"/>
      <c r="N2563" s="870"/>
      <c r="O2563" s="870"/>
      <c r="P2563" s="870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73"/>
      <c r="E2564" s="677"/>
      <c r="F2564" s="677"/>
      <c r="G2564" s="677"/>
      <c r="H2564" s="872"/>
      <c r="I2564" s="871"/>
      <c r="J2564" s="871"/>
      <c r="K2564" s="870"/>
      <c r="L2564" s="870"/>
      <c r="M2564" s="870"/>
      <c r="N2564" s="870"/>
      <c r="O2564" s="870"/>
      <c r="P2564" s="870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73"/>
      <c r="E2565" s="677"/>
      <c r="F2565" s="677"/>
      <c r="G2565" s="677"/>
      <c r="H2565" s="872"/>
      <c r="I2565" s="871"/>
      <c r="J2565" s="871"/>
      <c r="K2565" s="870"/>
      <c r="L2565" s="870"/>
      <c r="M2565" s="870"/>
      <c r="N2565" s="870"/>
      <c r="O2565" s="870"/>
      <c r="P2565" s="870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73"/>
      <c r="E2566" s="677"/>
      <c r="F2566" s="677"/>
      <c r="G2566" s="677"/>
      <c r="H2566" s="872"/>
      <c r="I2566" s="871"/>
      <c r="J2566" s="871"/>
      <c r="K2566" s="870"/>
      <c r="L2566" s="870"/>
      <c r="M2566" s="870"/>
      <c r="N2566" s="870"/>
      <c r="O2566" s="870"/>
      <c r="P2566" s="870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73"/>
      <c r="E2567" s="677"/>
      <c r="F2567" s="677"/>
      <c r="G2567" s="677"/>
      <c r="H2567" s="872"/>
      <c r="I2567" s="871"/>
      <c r="J2567" s="871"/>
      <c r="K2567" s="870"/>
      <c r="L2567" s="870"/>
      <c r="M2567" s="870"/>
      <c r="N2567" s="870"/>
      <c r="O2567" s="870"/>
      <c r="P2567" s="870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73"/>
      <c r="E2568" s="677"/>
      <c r="F2568" s="677"/>
      <c r="G2568" s="677"/>
      <c r="H2568" s="872"/>
      <c r="I2568" s="871"/>
      <c r="J2568" s="871"/>
      <c r="K2568" s="870"/>
      <c r="L2568" s="870"/>
      <c r="M2568" s="870"/>
      <c r="N2568" s="870"/>
      <c r="O2568" s="870"/>
      <c r="P2568" s="870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73"/>
      <c r="E2569" s="677"/>
      <c r="F2569" s="677"/>
      <c r="G2569" s="677"/>
      <c r="H2569" s="872"/>
      <c r="I2569" s="871"/>
      <c r="J2569" s="871"/>
      <c r="K2569" s="870"/>
      <c r="L2569" s="870"/>
      <c r="M2569" s="870"/>
      <c r="N2569" s="870"/>
      <c r="O2569" s="870"/>
      <c r="P2569" s="870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73"/>
      <c r="E2570" s="677"/>
      <c r="F2570" s="677"/>
      <c r="G2570" s="677"/>
      <c r="H2570" s="872"/>
      <c r="I2570" s="871"/>
      <c r="J2570" s="871"/>
      <c r="K2570" s="870"/>
      <c r="L2570" s="870"/>
      <c r="M2570" s="870"/>
      <c r="N2570" s="870"/>
      <c r="O2570" s="870"/>
      <c r="P2570" s="870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73"/>
      <c r="E2571" s="677"/>
      <c r="F2571" s="677"/>
      <c r="G2571" s="677"/>
      <c r="H2571" s="872"/>
      <c r="I2571" s="871"/>
      <c r="J2571" s="871"/>
      <c r="K2571" s="870"/>
      <c r="L2571" s="870"/>
      <c r="M2571" s="870"/>
      <c r="N2571" s="870"/>
      <c r="O2571" s="870"/>
      <c r="P2571" s="870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73"/>
      <c r="E2572" s="677"/>
      <c r="F2572" s="677"/>
      <c r="G2572" s="677"/>
      <c r="H2572" s="872"/>
      <c r="I2572" s="871"/>
      <c r="J2572" s="871"/>
      <c r="K2572" s="870"/>
      <c r="L2572" s="870"/>
      <c r="M2572" s="870"/>
      <c r="N2572" s="870"/>
      <c r="O2572" s="870"/>
      <c r="P2572" s="870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73"/>
      <c r="E2573" s="677"/>
      <c r="F2573" s="677"/>
      <c r="G2573" s="677"/>
      <c r="H2573" s="872"/>
      <c r="I2573" s="871"/>
      <c r="J2573" s="871"/>
      <c r="K2573" s="870"/>
      <c r="L2573" s="870"/>
      <c r="M2573" s="870"/>
      <c r="N2573" s="870"/>
      <c r="O2573" s="870"/>
      <c r="P2573" s="870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73"/>
      <c r="E2574" s="677"/>
      <c r="F2574" s="677"/>
      <c r="G2574" s="677"/>
      <c r="H2574" s="872"/>
      <c r="I2574" s="871"/>
      <c r="J2574" s="871"/>
      <c r="K2574" s="870"/>
      <c r="L2574" s="870"/>
      <c r="M2574" s="870"/>
      <c r="N2574" s="870"/>
      <c r="O2574" s="870"/>
      <c r="P2574" s="870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73"/>
      <c r="E2575" s="677"/>
      <c r="F2575" s="677"/>
      <c r="G2575" s="677"/>
      <c r="H2575" s="872"/>
      <c r="I2575" s="871"/>
      <c r="J2575" s="871"/>
      <c r="K2575" s="870"/>
      <c r="L2575" s="870"/>
      <c r="M2575" s="870"/>
      <c r="N2575" s="870"/>
      <c r="O2575" s="870"/>
      <c r="P2575" s="870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73"/>
      <c r="E2576" s="677"/>
      <c r="F2576" s="677"/>
      <c r="G2576" s="677"/>
      <c r="H2576" s="872"/>
      <c r="I2576" s="871"/>
      <c r="J2576" s="871"/>
      <c r="K2576" s="870"/>
      <c r="L2576" s="870"/>
      <c r="M2576" s="870"/>
      <c r="N2576" s="870"/>
      <c r="O2576" s="870"/>
      <c r="P2576" s="870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73"/>
      <c r="E2577" s="677"/>
      <c r="F2577" s="677"/>
      <c r="G2577" s="677"/>
      <c r="H2577" s="872"/>
      <c r="I2577" s="871"/>
      <c r="J2577" s="871"/>
      <c r="K2577" s="870"/>
      <c r="L2577" s="870"/>
      <c r="M2577" s="870"/>
      <c r="N2577" s="870"/>
      <c r="O2577" s="870"/>
      <c r="P2577" s="870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73"/>
      <c r="E2578" s="677"/>
      <c r="F2578" s="677"/>
      <c r="G2578" s="677"/>
      <c r="H2578" s="872"/>
      <c r="I2578" s="871"/>
      <c r="J2578" s="871"/>
      <c r="K2578" s="870"/>
      <c r="L2578" s="870"/>
      <c r="M2578" s="870"/>
      <c r="N2578" s="870"/>
      <c r="O2578" s="870"/>
      <c r="P2578" s="870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73"/>
      <c r="E2579" s="677"/>
      <c r="F2579" s="677"/>
      <c r="G2579" s="677"/>
      <c r="H2579" s="872"/>
      <c r="I2579" s="871"/>
      <c r="J2579" s="871"/>
      <c r="K2579" s="870"/>
      <c r="L2579" s="870"/>
      <c r="M2579" s="870"/>
      <c r="N2579" s="870"/>
      <c r="O2579" s="870"/>
      <c r="P2579" s="870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73"/>
      <c r="E2580" s="677"/>
      <c r="F2580" s="677"/>
      <c r="G2580" s="677"/>
      <c r="H2580" s="872"/>
      <c r="I2580" s="871"/>
      <c r="J2580" s="871"/>
      <c r="K2580" s="870"/>
      <c r="L2580" s="870"/>
      <c r="M2580" s="870"/>
      <c r="N2580" s="870"/>
      <c r="O2580" s="870"/>
      <c r="P2580" s="870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73"/>
      <c r="E2581" s="677"/>
      <c r="F2581" s="677"/>
      <c r="G2581" s="677"/>
      <c r="H2581" s="872"/>
      <c r="I2581" s="871"/>
      <c r="J2581" s="871"/>
      <c r="K2581" s="870"/>
      <c r="L2581" s="870"/>
      <c r="M2581" s="870"/>
      <c r="N2581" s="870"/>
      <c r="O2581" s="870"/>
      <c r="P2581" s="870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73"/>
      <c r="E2582" s="677"/>
      <c r="F2582" s="677"/>
      <c r="G2582" s="677"/>
      <c r="H2582" s="872"/>
      <c r="I2582" s="871"/>
      <c r="J2582" s="871"/>
      <c r="K2582" s="870"/>
      <c r="L2582" s="870"/>
      <c r="M2582" s="870"/>
      <c r="N2582" s="870"/>
      <c r="O2582" s="870"/>
      <c r="P2582" s="870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73"/>
      <c r="E2583" s="677"/>
      <c r="F2583" s="677"/>
      <c r="G2583" s="677"/>
      <c r="H2583" s="872"/>
      <c r="I2583" s="871"/>
      <c r="J2583" s="871"/>
      <c r="K2583" s="870"/>
      <c r="L2583" s="870"/>
      <c r="M2583" s="870"/>
      <c r="N2583" s="870"/>
      <c r="O2583" s="870"/>
      <c r="P2583" s="870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73"/>
      <c r="E2584" s="677"/>
      <c r="F2584" s="677"/>
      <c r="G2584" s="677"/>
      <c r="H2584" s="872"/>
      <c r="I2584" s="871"/>
      <c r="J2584" s="871"/>
      <c r="K2584" s="870"/>
      <c r="L2584" s="870"/>
      <c r="M2584" s="870"/>
      <c r="N2584" s="870"/>
      <c r="O2584" s="870"/>
      <c r="P2584" s="870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73"/>
      <c r="E2585" s="677"/>
      <c r="F2585" s="677"/>
      <c r="G2585" s="677"/>
      <c r="H2585" s="872"/>
      <c r="I2585" s="871"/>
      <c r="J2585" s="871"/>
      <c r="K2585" s="870"/>
      <c r="L2585" s="870"/>
      <c r="M2585" s="870"/>
      <c r="N2585" s="870"/>
      <c r="O2585" s="870"/>
      <c r="P2585" s="870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73"/>
      <c r="E2586" s="677"/>
      <c r="F2586" s="677"/>
      <c r="G2586" s="677"/>
      <c r="H2586" s="872"/>
      <c r="I2586" s="871"/>
      <c r="J2586" s="871"/>
      <c r="K2586" s="870"/>
      <c r="L2586" s="870"/>
      <c r="M2586" s="870"/>
      <c r="N2586" s="870"/>
      <c r="O2586" s="870"/>
      <c r="P2586" s="870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73"/>
      <c r="E2587" s="677"/>
      <c r="F2587" s="677"/>
      <c r="G2587" s="677"/>
      <c r="H2587" s="872"/>
      <c r="I2587" s="871"/>
      <c r="J2587" s="871"/>
      <c r="K2587" s="870"/>
      <c r="L2587" s="870"/>
      <c r="M2587" s="870"/>
      <c r="N2587" s="870"/>
      <c r="O2587" s="870"/>
      <c r="P2587" s="870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73"/>
      <c r="E2588" s="677"/>
      <c r="F2588" s="677"/>
      <c r="G2588" s="677"/>
      <c r="H2588" s="872"/>
      <c r="I2588" s="871"/>
      <c r="J2588" s="871"/>
      <c r="K2588" s="870"/>
      <c r="L2588" s="870"/>
      <c r="M2588" s="870"/>
      <c r="N2588" s="870"/>
      <c r="O2588" s="870"/>
      <c r="P2588" s="870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73"/>
      <c r="E2589" s="677"/>
      <c r="F2589" s="677"/>
      <c r="G2589" s="677"/>
      <c r="H2589" s="872"/>
      <c r="I2589" s="871"/>
      <c r="J2589" s="871"/>
      <c r="K2589" s="870"/>
      <c r="L2589" s="870"/>
      <c r="M2589" s="870"/>
      <c r="N2589" s="870"/>
      <c r="O2589" s="870"/>
      <c r="P2589" s="870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73"/>
      <c r="E2590" s="677"/>
      <c r="F2590" s="677"/>
      <c r="G2590" s="677"/>
      <c r="H2590" s="872"/>
      <c r="I2590" s="871"/>
      <c r="J2590" s="871"/>
      <c r="K2590" s="870"/>
      <c r="L2590" s="870"/>
      <c r="M2590" s="870"/>
      <c r="N2590" s="870"/>
      <c r="O2590" s="870"/>
      <c r="P2590" s="870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73"/>
      <c r="E2591" s="677"/>
      <c r="F2591" s="677"/>
      <c r="G2591" s="677"/>
      <c r="H2591" s="872"/>
      <c r="I2591" s="871"/>
      <c r="J2591" s="871"/>
      <c r="K2591" s="870"/>
      <c r="L2591" s="870"/>
      <c r="M2591" s="870"/>
      <c r="N2591" s="870"/>
      <c r="O2591" s="870"/>
      <c r="P2591" s="870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73"/>
      <c r="E2592" s="677"/>
      <c r="F2592" s="677"/>
      <c r="G2592" s="677"/>
      <c r="H2592" s="872"/>
      <c r="I2592" s="871"/>
      <c r="J2592" s="871"/>
      <c r="K2592" s="870"/>
      <c r="L2592" s="870"/>
      <c r="M2592" s="870"/>
      <c r="N2592" s="870"/>
      <c r="O2592" s="870"/>
      <c r="P2592" s="870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73"/>
      <c r="E2593" s="677"/>
      <c r="F2593" s="677"/>
      <c r="G2593" s="677"/>
      <c r="H2593" s="872"/>
      <c r="I2593" s="871"/>
      <c r="J2593" s="871"/>
      <c r="K2593" s="870"/>
      <c r="L2593" s="870"/>
      <c r="M2593" s="870"/>
      <c r="N2593" s="870"/>
      <c r="O2593" s="870"/>
      <c r="P2593" s="870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73"/>
      <c r="E2594" s="677"/>
      <c r="F2594" s="677"/>
      <c r="G2594" s="677"/>
      <c r="H2594" s="872"/>
      <c r="I2594" s="871"/>
      <c r="J2594" s="871"/>
      <c r="K2594" s="870"/>
      <c r="L2594" s="870"/>
      <c r="M2594" s="870"/>
      <c r="N2594" s="870"/>
      <c r="O2594" s="870"/>
      <c r="P2594" s="870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73"/>
      <c r="E2595" s="677"/>
      <c r="F2595" s="677"/>
      <c r="G2595" s="677"/>
      <c r="H2595" s="872"/>
      <c r="I2595" s="871"/>
      <c r="J2595" s="871"/>
      <c r="K2595" s="870"/>
      <c r="L2595" s="870"/>
      <c r="M2595" s="870"/>
      <c r="N2595" s="870"/>
      <c r="O2595" s="870"/>
      <c r="P2595" s="870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73"/>
      <c r="E2596" s="677"/>
      <c r="F2596" s="677"/>
      <c r="G2596" s="677"/>
      <c r="H2596" s="872"/>
      <c r="I2596" s="871"/>
      <c r="J2596" s="871"/>
      <c r="K2596" s="870"/>
      <c r="L2596" s="870"/>
      <c r="M2596" s="870"/>
      <c r="N2596" s="870"/>
      <c r="O2596" s="870"/>
      <c r="P2596" s="870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73"/>
      <c r="E2597" s="677"/>
      <c r="F2597" s="677"/>
      <c r="G2597" s="677"/>
      <c r="H2597" s="872"/>
      <c r="I2597" s="871"/>
      <c r="J2597" s="871"/>
      <c r="K2597" s="870"/>
      <c r="L2597" s="870"/>
      <c r="M2597" s="870"/>
      <c r="N2597" s="870"/>
      <c r="O2597" s="870"/>
      <c r="P2597" s="870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73"/>
      <c r="E2598" s="677"/>
      <c r="F2598" s="677"/>
      <c r="G2598" s="677"/>
      <c r="H2598" s="872"/>
      <c r="I2598" s="871"/>
      <c r="J2598" s="871"/>
      <c r="K2598" s="870"/>
      <c r="L2598" s="870"/>
      <c r="M2598" s="870"/>
      <c r="N2598" s="870"/>
      <c r="O2598" s="870"/>
      <c r="P2598" s="870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73"/>
      <c r="E2599" s="677"/>
      <c r="F2599" s="677"/>
      <c r="G2599" s="677"/>
      <c r="H2599" s="872"/>
      <c r="I2599" s="871"/>
      <c r="J2599" s="871"/>
      <c r="K2599" s="870"/>
      <c r="L2599" s="870"/>
      <c r="M2599" s="870"/>
      <c r="N2599" s="870"/>
      <c r="O2599" s="870"/>
      <c r="P2599" s="870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73"/>
      <c r="E2600" s="677"/>
      <c r="F2600" s="677"/>
      <c r="G2600" s="677"/>
      <c r="H2600" s="872"/>
      <c r="I2600" s="871"/>
      <c r="J2600" s="871"/>
      <c r="K2600" s="870"/>
      <c r="L2600" s="870"/>
      <c r="M2600" s="870"/>
      <c r="N2600" s="870"/>
      <c r="O2600" s="870"/>
      <c r="P2600" s="870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73"/>
      <c r="E2601" s="677"/>
      <c r="F2601" s="677"/>
      <c r="G2601" s="677"/>
      <c r="H2601" s="872"/>
      <c r="I2601" s="871"/>
      <c r="J2601" s="871"/>
      <c r="K2601" s="870"/>
      <c r="L2601" s="870"/>
      <c r="M2601" s="870"/>
      <c r="N2601" s="870"/>
      <c r="O2601" s="870"/>
      <c r="P2601" s="870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73"/>
      <c r="E2602" s="677"/>
      <c r="F2602" s="677"/>
      <c r="G2602" s="677"/>
      <c r="H2602" s="872"/>
      <c r="I2602" s="871"/>
      <c r="J2602" s="871"/>
      <c r="K2602" s="870"/>
      <c r="L2602" s="870"/>
      <c r="M2602" s="870"/>
      <c r="N2602" s="870"/>
      <c r="O2602" s="870"/>
      <c r="P2602" s="870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73"/>
      <c r="E2603" s="677"/>
      <c r="F2603" s="677"/>
      <c r="G2603" s="677"/>
      <c r="H2603" s="872"/>
      <c r="I2603" s="871"/>
      <c r="J2603" s="871"/>
      <c r="K2603" s="870"/>
      <c r="L2603" s="870"/>
      <c r="M2603" s="870"/>
      <c r="N2603" s="870"/>
      <c r="O2603" s="870"/>
      <c r="P2603" s="870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73"/>
      <c r="E2604" s="677"/>
      <c r="F2604" s="677"/>
      <c r="G2604" s="677"/>
      <c r="H2604" s="872"/>
      <c r="I2604" s="871"/>
      <c r="J2604" s="871"/>
      <c r="K2604" s="870"/>
      <c r="L2604" s="870"/>
      <c r="M2604" s="870"/>
      <c r="N2604" s="870"/>
      <c r="O2604" s="870"/>
      <c r="P2604" s="870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73"/>
      <c r="E2605" s="677"/>
      <c r="F2605" s="677"/>
      <c r="G2605" s="677"/>
      <c r="H2605" s="872"/>
      <c r="I2605" s="871"/>
      <c r="J2605" s="871"/>
      <c r="K2605" s="870"/>
      <c r="L2605" s="870"/>
      <c r="M2605" s="870"/>
      <c r="N2605" s="870"/>
      <c r="O2605" s="870"/>
      <c r="P2605" s="870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73"/>
      <c r="E2606" s="677"/>
      <c r="F2606" s="677"/>
      <c r="G2606" s="677"/>
      <c r="H2606" s="872"/>
      <c r="I2606" s="871"/>
      <c r="J2606" s="871"/>
      <c r="K2606" s="870"/>
      <c r="L2606" s="870"/>
      <c r="M2606" s="870"/>
      <c r="N2606" s="870"/>
      <c r="O2606" s="870"/>
      <c r="P2606" s="870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73"/>
      <c r="E2607" s="677"/>
      <c r="F2607" s="677"/>
      <c r="G2607" s="677"/>
      <c r="H2607" s="872"/>
      <c r="I2607" s="871"/>
      <c r="J2607" s="871"/>
      <c r="K2607" s="870"/>
      <c r="L2607" s="870"/>
      <c r="M2607" s="870"/>
      <c r="N2607" s="870"/>
      <c r="O2607" s="870"/>
      <c r="P2607" s="870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73"/>
      <c r="E2608" s="677"/>
      <c r="F2608" s="677"/>
      <c r="G2608" s="677"/>
      <c r="H2608" s="872"/>
      <c r="I2608" s="871"/>
      <c r="J2608" s="871"/>
      <c r="K2608" s="870"/>
      <c r="L2608" s="870"/>
      <c r="M2608" s="870"/>
      <c r="N2608" s="870"/>
      <c r="O2608" s="870"/>
      <c r="P2608" s="870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73"/>
      <c r="E2609" s="677"/>
      <c r="F2609" s="677"/>
      <c r="G2609" s="677"/>
      <c r="H2609" s="872"/>
      <c r="I2609" s="871"/>
      <c r="J2609" s="871"/>
      <c r="K2609" s="870"/>
      <c r="L2609" s="870"/>
      <c r="M2609" s="870"/>
      <c r="N2609" s="870"/>
      <c r="O2609" s="870"/>
      <c r="P2609" s="870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73"/>
      <c r="E2610" s="677"/>
      <c r="F2610" s="677"/>
      <c r="G2610" s="677"/>
      <c r="H2610" s="872"/>
      <c r="I2610" s="871"/>
      <c r="J2610" s="871"/>
      <c r="K2610" s="870"/>
      <c r="L2610" s="870"/>
      <c r="M2610" s="870"/>
      <c r="N2610" s="870"/>
      <c r="O2610" s="870"/>
      <c r="P2610" s="870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73"/>
      <c r="E2611" s="677"/>
      <c r="F2611" s="677"/>
      <c r="G2611" s="677"/>
      <c r="H2611" s="872"/>
      <c r="I2611" s="871"/>
      <c r="J2611" s="871"/>
      <c r="K2611" s="870"/>
      <c r="L2611" s="870"/>
      <c r="M2611" s="870"/>
      <c r="N2611" s="870"/>
      <c r="O2611" s="870"/>
      <c r="P2611" s="870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73"/>
      <c r="E2612" s="677"/>
      <c r="F2612" s="677"/>
      <c r="G2612" s="677"/>
      <c r="H2612" s="872"/>
      <c r="I2612" s="871"/>
      <c r="J2612" s="871"/>
      <c r="K2612" s="870"/>
      <c r="L2612" s="870"/>
      <c r="M2612" s="870"/>
      <c r="N2612" s="870"/>
      <c r="O2612" s="870"/>
      <c r="P2612" s="870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73"/>
      <c r="E2613" s="677"/>
      <c r="F2613" s="677"/>
      <c r="G2613" s="677"/>
      <c r="H2613" s="872"/>
      <c r="I2613" s="871"/>
      <c r="J2613" s="871"/>
      <c r="K2613" s="870"/>
      <c r="L2613" s="870"/>
      <c r="M2613" s="870"/>
      <c r="N2613" s="870"/>
      <c r="O2613" s="870"/>
      <c r="P2613" s="870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73"/>
      <c r="E2614" s="677"/>
      <c r="F2614" s="677"/>
      <c r="G2614" s="677"/>
      <c r="H2614" s="872"/>
      <c r="I2614" s="871"/>
      <c r="J2614" s="871"/>
      <c r="K2614" s="870"/>
      <c r="L2614" s="870"/>
      <c r="M2614" s="870"/>
      <c r="N2614" s="870"/>
      <c r="O2614" s="870"/>
      <c r="P2614" s="870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73"/>
      <c r="E2615" s="677"/>
      <c r="F2615" s="677"/>
      <c r="G2615" s="677"/>
      <c r="H2615" s="872"/>
      <c r="I2615" s="871"/>
      <c r="J2615" s="871"/>
      <c r="K2615" s="870"/>
      <c r="L2615" s="870"/>
      <c r="M2615" s="870"/>
      <c r="N2615" s="870"/>
      <c r="O2615" s="870"/>
      <c r="P2615" s="870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73"/>
      <c r="E2616" s="677"/>
      <c r="F2616" s="677"/>
      <c r="G2616" s="677"/>
      <c r="H2616" s="872"/>
      <c r="I2616" s="871"/>
      <c r="J2616" s="871"/>
      <c r="K2616" s="870"/>
      <c r="L2616" s="870"/>
      <c r="M2616" s="870"/>
      <c r="N2616" s="870"/>
      <c r="O2616" s="870"/>
      <c r="P2616" s="870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73"/>
      <c r="E2617" s="677"/>
      <c r="F2617" s="677"/>
      <c r="G2617" s="677"/>
      <c r="H2617" s="872"/>
      <c r="I2617" s="871"/>
      <c r="J2617" s="871"/>
      <c r="K2617" s="870"/>
      <c r="L2617" s="870"/>
      <c r="M2617" s="870"/>
      <c r="N2617" s="870"/>
      <c r="O2617" s="870"/>
      <c r="P2617" s="870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73"/>
      <c r="E2618" s="677"/>
      <c r="F2618" s="677"/>
      <c r="G2618" s="677"/>
      <c r="H2618" s="872"/>
      <c r="I2618" s="871"/>
      <c r="J2618" s="871"/>
      <c r="K2618" s="870"/>
      <c r="L2618" s="870"/>
      <c r="M2618" s="870"/>
      <c r="N2618" s="870"/>
      <c r="O2618" s="870"/>
      <c r="P2618" s="870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73"/>
      <c r="E2619" s="677"/>
      <c r="F2619" s="677"/>
      <c r="G2619" s="677"/>
      <c r="H2619" s="872"/>
      <c r="I2619" s="871"/>
      <c r="J2619" s="871"/>
      <c r="K2619" s="870"/>
      <c r="L2619" s="870"/>
      <c r="M2619" s="870"/>
      <c r="N2619" s="870"/>
      <c r="O2619" s="870"/>
      <c r="P2619" s="870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73"/>
      <c r="E2620" s="677"/>
      <c r="F2620" s="677"/>
      <c r="G2620" s="677"/>
      <c r="H2620" s="872"/>
      <c r="I2620" s="871"/>
      <c r="J2620" s="871"/>
      <c r="K2620" s="870"/>
      <c r="L2620" s="870"/>
      <c r="M2620" s="870"/>
      <c r="N2620" s="870"/>
      <c r="O2620" s="870"/>
      <c r="P2620" s="870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73"/>
      <c r="E2621" s="677"/>
      <c r="F2621" s="677"/>
      <c r="G2621" s="677"/>
      <c r="H2621" s="872"/>
      <c r="I2621" s="871"/>
      <c r="J2621" s="871"/>
      <c r="K2621" s="870"/>
      <c r="L2621" s="870"/>
      <c r="M2621" s="870"/>
      <c r="N2621" s="870"/>
      <c r="O2621" s="870"/>
      <c r="P2621" s="870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73"/>
      <c r="E2622" s="677"/>
      <c r="F2622" s="677"/>
      <c r="G2622" s="677"/>
      <c r="H2622" s="872"/>
      <c r="I2622" s="871"/>
      <c r="J2622" s="871"/>
      <c r="K2622" s="870"/>
      <c r="L2622" s="870"/>
      <c r="M2622" s="870"/>
      <c r="N2622" s="870"/>
      <c r="O2622" s="870"/>
      <c r="P2622" s="870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73"/>
      <c r="E2623" s="677"/>
      <c r="F2623" s="677"/>
      <c r="G2623" s="677"/>
      <c r="H2623" s="872"/>
      <c r="I2623" s="871"/>
      <c r="J2623" s="871"/>
      <c r="K2623" s="870"/>
      <c r="L2623" s="870"/>
      <c r="M2623" s="870"/>
      <c r="N2623" s="870"/>
      <c r="O2623" s="870"/>
      <c r="P2623" s="870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73"/>
      <c r="E2624" s="677"/>
      <c r="F2624" s="677"/>
      <c r="G2624" s="677"/>
      <c r="H2624" s="872"/>
      <c r="I2624" s="871"/>
      <c r="J2624" s="871"/>
      <c r="K2624" s="870"/>
      <c r="L2624" s="870"/>
      <c r="M2624" s="870"/>
      <c r="N2624" s="870"/>
      <c r="O2624" s="870"/>
      <c r="P2624" s="870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73"/>
      <c r="E2625" s="677"/>
      <c r="F2625" s="677"/>
      <c r="G2625" s="677"/>
      <c r="H2625" s="872"/>
      <c r="I2625" s="871"/>
      <c r="J2625" s="871"/>
      <c r="K2625" s="870"/>
      <c r="L2625" s="870"/>
      <c r="M2625" s="870"/>
      <c r="N2625" s="870"/>
      <c r="O2625" s="870"/>
      <c r="P2625" s="870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73"/>
      <c r="E2626" s="677"/>
      <c r="F2626" s="677"/>
      <c r="G2626" s="677"/>
      <c r="H2626" s="872"/>
      <c r="I2626" s="871"/>
      <c r="J2626" s="871"/>
      <c r="K2626" s="870"/>
      <c r="L2626" s="870"/>
      <c r="M2626" s="870"/>
      <c r="N2626" s="870"/>
      <c r="O2626" s="870"/>
      <c r="P2626" s="870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73"/>
      <c r="E2627" s="677"/>
      <c r="F2627" s="677"/>
      <c r="G2627" s="677"/>
      <c r="H2627" s="872"/>
      <c r="I2627" s="871"/>
      <c r="J2627" s="871"/>
      <c r="K2627" s="870"/>
      <c r="L2627" s="870"/>
      <c r="M2627" s="870"/>
      <c r="N2627" s="870"/>
      <c r="O2627" s="870"/>
      <c r="P2627" s="870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73"/>
      <c r="E2628" s="677"/>
      <c r="F2628" s="677"/>
      <c r="G2628" s="677"/>
      <c r="H2628" s="872"/>
      <c r="I2628" s="871"/>
      <c r="J2628" s="871"/>
      <c r="K2628" s="870"/>
      <c r="L2628" s="870"/>
      <c r="M2628" s="870"/>
      <c r="N2628" s="870"/>
      <c r="O2628" s="870"/>
      <c r="P2628" s="870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73"/>
      <c r="E2629" s="677"/>
      <c r="F2629" s="677"/>
      <c r="G2629" s="677"/>
      <c r="H2629" s="872"/>
      <c r="I2629" s="871"/>
      <c r="J2629" s="871"/>
      <c r="K2629" s="870"/>
      <c r="L2629" s="870"/>
      <c r="M2629" s="870"/>
      <c r="N2629" s="870"/>
      <c r="O2629" s="870"/>
      <c r="P2629" s="870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73"/>
      <c r="E2630" s="677"/>
      <c r="F2630" s="677"/>
      <c r="G2630" s="677"/>
      <c r="H2630" s="872"/>
      <c r="I2630" s="871"/>
      <c r="J2630" s="871"/>
      <c r="K2630" s="870"/>
      <c r="L2630" s="870"/>
      <c r="M2630" s="870"/>
      <c r="N2630" s="870"/>
      <c r="O2630" s="870"/>
      <c r="P2630" s="870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73"/>
      <c r="E2631" s="677"/>
      <c r="F2631" s="677"/>
      <c r="G2631" s="677"/>
      <c r="H2631" s="872"/>
      <c r="I2631" s="871"/>
      <c r="J2631" s="871"/>
      <c r="K2631" s="870"/>
      <c r="L2631" s="870"/>
      <c r="M2631" s="870"/>
      <c r="N2631" s="870"/>
      <c r="O2631" s="870"/>
      <c r="P2631" s="870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73"/>
      <c r="E2632" s="677"/>
      <c r="F2632" s="677"/>
      <c r="G2632" s="677"/>
      <c r="H2632" s="872"/>
      <c r="I2632" s="871"/>
      <c r="J2632" s="871"/>
      <c r="K2632" s="870"/>
      <c r="L2632" s="870"/>
      <c r="M2632" s="870"/>
      <c r="N2632" s="870"/>
      <c r="O2632" s="870"/>
      <c r="P2632" s="870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73"/>
      <c r="E2633" s="677"/>
      <c r="F2633" s="677"/>
      <c r="G2633" s="677"/>
      <c r="H2633" s="872"/>
      <c r="I2633" s="871"/>
      <c r="J2633" s="871"/>
      <c r="K2633" s="870"/>
      <c r="L2633" s="870"/>
      <c r="M2633" s="870"/>
      <c r="N2633" s="870"/>
      <c r="O2633" s="870"/>
      <c r="P2633" s="870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73"/>
      <c r="E2634" s="677"/>
      <c r="F2634" s="677"/>
      <c r="G2634" s="677"/>
      <c r="H2634" s="872"/>
      <c r="I2634" s="871"/>
      <c r="J2634" s="871"/>
      <c r="K2634" s="870"/>
      <c r="L2634" s="870"/>
      <c r="M2634" s="870"/>
      <c r="N2634" s="870"/>
      <c r="O2634" s="870"/>
      <c r="P2634" s="870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73"/>
      <c r="E2635" s="677"/>
      <c r="F2635" s="677"/>
      <c r="G2635" s="677"/>
      <c r="H2635" s="872"/>
      <c r="I2635" s="871"/>
      <c r="J2635" s="871"/>
      <c r="K2635" s="870"/>
      <c r="L2635" s="870"/>
      <c r="M2635" s="870"/>
      <c r="N2635" s="870"/>
      <c r="O2635" s="870"/>
      <c r="P2635" s="870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73"/>
      <c r="E2636" s="677"/>
      <c r="F2636" s="677"/>
      <c r="G2636" s="677"/>
      <c r="H2636" s="872"/>
      <c r="I2636" s="871"/>
      <c r="J2636" s="871"/>
      <c r="K2636" s="870"/>
      <c r="L2636" s="870"/>
      <c r="M2636" s="870"/>
      <c r="N2636" s="870"/>
      <c r="O2636" s="870"/>
      <c r="P2636" s="870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73"/>
      <c r="E2637" s="677"/>
      <c r="F2637" s="677"/>
      <c r="G2637" s="677"/>
      <c r="H2637" s="872"/>
      <c r="I2637" s="871"/>
      <c r="J2637" s="871"/>
      <c r="K2637" s="870"/>
      <c r="L2637" s="870"/>
      <c r="M2637" s="870"/>
      <c r="N2637" s="870"/>
      <c r="O2637" s="870"/>
      <c r="P2637" s="870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73"/>
      <c r="E2638" s="677"/>
      <c r="F2638" s="677"/>
      <c r="G2638" s="677"/>
      <c r="H2638" s="872"/>
      <c r="I2638" s="871"/>
      <c r="J2638" s="871"/>
      <c r="K2638" s="870"/>
      <c r="L2638" s="870"/>
      <c r="M2638" s="870"/>
      <c r="N2638" s="870"/>
      <c r="O2638" s="870"/>
      <c r="P2638" s="870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73"/>
      <c r="E2639" s="677"/>
      <c r="F2639" s="677"/>
      <c r="G2639" s="677"/>
      <c r="H2639" s="872"/>
      <c r="I2639" s="871"/>
      <c r="J2639" s="871"/>
      <c r="K2639" s="870"/>
      <c r="L2639" s="870"/>
      <c r="M2639" s="870"/>
      <c r="N2639" s="870"/>
      <c r="O2639" s="870"/>
      <c r="P2639" s="870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73"/>
      <c r="E2640" s="677"/>
      <c r="F2640" s="677"/>
      <c r="G2640" s="677"/>
      <c r="H2640" s="872"/>
      <c r="I2640" s="871"/>
      <c r="J2640" s="871"/>
      <c r="K2640" s="870"/>
      <c r="L2640" s="870"/>
      <c r="M2640" s="870"/>
      <c r="N2640" s="870"/>
      <c r="O2640" s="870"/>
      <c r="P2640" s="870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73"/>
      <c r="E2641" s="677"/>
      <c r="F2641" s="677"/>
      <c r="G2641" s="677"/>
      <c r="H2641" s="872"/>
      <c r="I2641" s="871"/>
      <c r="J2641" s="871"/>
      <c r="K2641" s="870"/>
      <c r="L2641" s="870"/>
      <c r="M2641" s="870"/>
      <c r="N2641" s="870"/>
      <c r="O2641" s="870"/>
      <c r="P2641" s="870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73"/>
      <c r="E2642" s="677"/>
      <c r="F2642" s="677"/>
      <c r="G2642" s="677"/>
      <c r="H2642" s="872"/>
      <c r="I2642" s="871"/>
      <c r="J2642" s="871"/>
      <c r="K2642" s="870"/>
      <c r="L2642" s="870"/>
      <c r="M2642" s="870"/>
      <c r="N2642" s="870"/>
      <c r="O2642" s="870"/>
      <c r="P2642" s="870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73"/>
      <c r="E2643" s="677"/>
      <c r="F2643" s="677"/>
      <c r="G2643" s="677"/>
      <c r="H2643" s="872"/>
      <c r="I2643" s="871"/>
      <c r="J2643" s="871"/>
      <c r="K2643" s="870"/>
      <c r="L2643" s="870"/>
      <c r="M2643" s="870"/>
      <c r="N2643" s="870"/>
      <c r="O2643" s="870"/>
      <c r="P2643" s="870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73"/>
      <c r="E2644" s="677"/>
      <c r="F2644" s="677"/>
      <c r="G2644" s="677"/>
      <c r="H2644" s="872"/>
      <c r="I2644" s="871"/>
      <c r="J2644" s="871"/>
      <c r="K2644" s="870"/>
      <c r="L2644" s="870"/>
      <c r="M2644" s="870"/>
      <c r="N2644" s="870"/>
      <c r="O2644" s="870"/>
      <c r="P2644" s="870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73"/>
      <c r="E2645" s="677"/>
      <c r="F2645" s="677"/>
      <c r="G2645" s="677"/>
      <c r="H2645" s="872"/>
      <c r="I2645" s="871"/>
      <c r="J2645" s="871"/>
      <c r="K2645" s="870"/>
      <c r="L2645" s="870"/>
      <c r="M2645" s="870"/>
      <c r="N2645" s="870"/>
      <c r="O2645" s="870"/>
      <c r="P2645" s="870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73"/>
      <c r="E2646" s="677"/>
      <c r="F2646" s="677"/>
      <c r="G2646" s="677"/>
      <c r="H2646" s="872"/>
      <c r="I2646" s="871"/>
      <c r="J2646" s="871"/>
      <c r="K2646" s="870"/>
      <c r="L2646" s="870"/>
      <c r="M2646" s="870"/>
      <c r="N2646" s="870"/>
      <c r="O2646" s="870"/>
      <c r="P2646" s="870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73"/>
      <c r="E2647" s="677"/>
      <c r="F2647" s="677"/>
      <c r="G2647" s="677"/>
      <c r="H2647" s="872"/>
      <c r="I2647" s="871"/>
      <c r="J2647" s="871"/>
      <c r="K2647" s="870"/>
      <c r="L2647" s="870"/>
      <c r="M2647" s="870"/>
      <c r="N2647" s="870"/>
      <c r="O2647" s="870"/>
      <c r="P2647" s="870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73"/>
      <c r="E2648" s="677"/>
      <c r="F2648" s="677"/>
      <c r="G2648" s="677"/>
      <c r="H2648" s="872"/>
      <c r="I2648" s="871"/>
      <c r="J2648" s="871"/>
      <c r="K2648" s="870"/>
      <c r="L2648" s="870"/>
      <c r="M2648" s="870"/>
      <c r="N2648" s="870"/>
      <c r="O2648" s="870"/>
      <c r="P2648" s="870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73"/>
      <c r="E2649" s="677"/>
      <c r="F2649" s="677"/>
      <c r="G2649" s="677"/>
      <c r="H2649" s="872"/>
      <c r="I2649" s="871"/>
      <c r="J2649" s="871"/>
      <c r="K2649" s="870"/>
      <c r="L2649" s="870"/>
      <c r="M2649" s="870"/>
      <c r="N2649" s="870"/>
      <c r="O2649" s="870"/>
      <c r="P2649" s="870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73"/>
      <c r="E2650" s="677"/>
      <c r="F2650" s="677"/>
      <c r="G2650" s="677"/>
      <c r="H2650" s="872"/>
      <c r="I2650" s="871"/>
      <c r="J2650" s="871"/>
      <c r="K2650" s="870"/>
      <c r="L2650" s="870"/>
      <c r="M2650" s="870"/>
      <c r="N2650" s="870"/>
      <c r="O2650" s="870"/>
      <c r="P2650" s="870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73"/>
      <c r="E2651" s="677"/>
      <c r="F2651" s="677"/>
      <c r="G2651" s="677"/>
      <c r="H2651" s="872"/>
      <c r="I2651" s="871"/>
      <c r="J2651" s="871"/>
      <c r="K2651" s="870"/>
      <c r="L2651" s="870"/>
      <c r="M2651" s="870"/>
      <c r="N2651" s="870"/>
      <c r="O2651" s="870"/>
      <c r="P2651" s="870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73"/>
      <c r="E2652" s="677"/>
      <c r="F2652" s="677"/>
      <c r="G2652" s="677"/>
      <c r="H2652" s="872"/>
      <c r="I2652" s="871"/>
      <c r="J2652" s="871"/>
      <c r="K2652" s="870"/>
      <c r="L2652" s="870"/>
      <c r="M2652" s="870"/>
      <c r="N2652" s="870"/>
      <c r="O2652" s="870"/>
      <c r="P2652" s="870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73"/>
      <c r="E2653" s="677"/>
      <c r="F2653" s="677"/>
      <c r="G2653" s="677"/>
      <c r="H2653" s="872"/>
      <c r="I2653" s="871"/>
      <c r="J2653" s="871"/>
      <c r="K2653" s="870"/>
      <c r="L2653" s="870"/>
      <c r="M2653" s="870"/>
      <c r="N2653" s="870"/>
      <c r="O2653" s="870"/>
      <c r="P2653" s="870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73"/>
      <c r="E2654" s="677"/>
      <c r="F2654" s="677"/>
      <c r="G2654" s="677"/>
      <c r="H2654" s="872"/>
      <c r="I2654" s="871"/>
      <c r="J2654" s="871"/>
      <c r="K2654" s="870"/>
      <c r="L2654" s="870"/>
      <c r="M2654" s="870"/>
      <c r="N2654" s="870"/>
      <c r="O2654" s="870"/>
      <c r="P2654" s="870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73"/>
      <c r="E2655" s="677"/>
      <c r="F2655" s="677"/>
      <c r="G2655" s="677"/>
      <c r="H2655" s="872"/>
      <c r="I2655" s="871"/>
      <c r="J2655" s="871"/>
      <c r="K2655" s="870"/>
      <c r="L2655" s="870"/>
      <c r="M2655" s="870"/>
      <c r="N2655" s="870"/>
      <c r="O2655" s="870"/>
      <c r="P2655" s="870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73"/>
      <c r="E2656" s="677"/>
      <c r="F2656" s="677"/>
      <c r="G2656" s="677"/>
      <c r="H2656" s="872"/>
      <c r="I2656" s="871"/>
      <c r="J2656" s="871"/>
      <c r="K2656" s="870"/>
      <c r="L2656" s="870"/>
      <c r="M2656" s="870"/>
      <c r="N2656" s="870"/>
      <c r="O2656" s="870"/>
      <c r="P2656" s="870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73"/>
      <c r="E2657" s="677"/>
      <c r="F2657" s="677"/>
      <c r="G2657" s="677"/>
      <c r="H2657" s="872"/>
      <c r="I2657" s="871"/>
      <c r="J2657" s="871"/>
      <c r="K2657" s="870"/>
      <c r="L2657" s="870"/>
      <c r="M2657" s="870"/>
      <c r="N2657" s="870"/>
      <c r="O2657" s="870"/>
      <c r="P2657" s="870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73"/>
      <c r="E2658" s="677"/>
      <c r="F2658" s="677"/>
      <c r="G2658" s="677"/>
      <c r="H2658" s="872"/>
      <c r="I2658" s="871"/>
      <c r="J2658" s="871"/>
      <c r="K2658" s="870"/>
      <c r="L2658" s="870"/>
      <c r="M2658" s="870"/>
      <c r="N2658" s="870"/>
      <c r="O2658" s="870"/>
      <c r="P2658" s="870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73"/>
      <c r="E2659" s="677"/>
      <c r="F2659" s="677"/>
      <c r="G2659" s="677"/>
      <c r="H2659" s="872"/>
      <c r="I2659" s="871"/>
      <c r="J2659" s="871"/>
      <c r="K2659" s="870"/>
      <c r="L2659" s="870"/>
      <c r="M2659" s="870"/>
      <c r="N2659" s="870"/>
      <c r="O2659" s="870"/>
      <c r="P2659" s="870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73"/>
      <c r="E2660" s="677"/>
      <c r="F2660" s="677"/>
      <c r="G2660" s="677"/>
      <c r="H2660" s="872"/>
      <c r="I2660" s="871"/>
      <c r="J2660" s="871"/>
      <c r="K2660" s="870"/>
      <c r="L2660" s="870"/>
      <c r="M2660" s="870"/>
      <c r="N2660" s="870"/>
      <c r="O2660" s="870"/>
      <c r="P2660" s="870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73"/>
      <c r="E2661" s="677"/>
      <c r="F2661" s="677"/>
      <c r="G2661" s="677"/>
      <c r="H2661" s="872"/>
      <c r="I2661" s="871"/>
      <c r="J2661" s="871"/>
      <c r="K2661" s="870"/>
      <c r="L2661" s="870"/>
      <c r="M2661" s="870"/>
      <c r="N2661" s="870"/>
      <c r="O2661" s="870"/>
      <c r="P2661" s="870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73"/>
      <c r="E2662" s="677"/>
      <c r="F2662" s="677"/>
      <c r="G2662" s="677"/>
      <c r="H2662" s="872"/>
      <c r="I2662" s="871"/>
      <c r="J2662" s="871"/>
      <c r="K2662" s="870"/>
      <c r="L2662" s="870"/>
      <c r="M2662" s="870"/>
      <c r="N2662" s="870"/>
      <c r="O2662" s="870"/>
      <c r="P2662" s="870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73"/>
      <c r="E2663" s="677"/>
      <c r="F2663" s="677"/>
      <c r="G2663" s="677"/>
      <c r="H2663" s="872"/>
      <c r="I2663" s="871"/>
      <c r="J2663" s="871"/>
      <c r="K2663" s="870"/>
      <c r="L2663" s="870"/>
      <c r="M2663" s="870"/>
      <c r="N2663" s="870"/>
      <c r="O2663" s="870"/>
      <c r="P2663" s="870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73"/>
      <c r="E2664" s="677"/>
      <c r="F2664" s="677"/>
      <c r="G2664" s="677"/>
      <c r="H2664" s="872"/>
      <c r="I2664" s="871"/>
      <c r="J2664" s="871"/>
      <c r="K2664" s="870"/>
      <c r="L2664" s="870"/>
      <c r="M2664" s="870"/>
      <c r="N2664" s="870"/>
      <c r="O2664" s="870"/>
      <c r="P2664" s="870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73"/>
      <c r="E2665" s="677"/>
      <c r="F2665" s="677"/>
      <c r="G2665" s="677"/>
      <c r="H2665" s="872"/>
      <c r="I2665" s="871"/>
      <c r="J2665" s="871"/>
      <c r="K2665" s="870"/>
      <c r="L2665" s="870"/>
      <c r="M2665" s="870"/>
      <c r="N2665" s="870"/>
      <c r="O2665" s="870"/>
      <c r="P2665" s="870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73"/>
      <c r="E2666" s="677"/>
      <c r="F2666" s="677"/>
      <c r="G2666" s="677"/>
      <c r="H2666" s="872"/>
      <c r="I2666" s="871"/>
      <c r="J2666" s="871"/>
      <c r="K2666" s="870"/>
      <c r="L2666" s="870"/>
      <c r="M2666" s="870"/>
      <c r="N2666" s="870"/>
      <c r="O2666" s="870"/>
      <c r="P2666" s="870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73"/>
      <c r="E2667" s="677"/>
      <c r="F2667" s="677"/>
      <c r="G2667" s="677"/>
      <c r="H2667" s="872"/>
      <c r="I2667" s="871"/>
      <c r="J2667" s="871"/>
      <c r="K2667" s="870"/>
      <c r="L2667" s="870"/>
      <c r="M2667" s="870"/>
      <c r="N2667" s="870"/>
      <c r="O2667" s="870"/>
      <c r="P2667" s="870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73"/>
      <c r="E2668" s="677"/>
      <c r="F2668" s="677"/>
      <c r="G2668" s="677"/>
      <c r="H2668" s="872"/>
      <c r="I2668" s="871"/>
      <c r="J2668" s="871"/>
      <c r="K2668" s="870"/>
      <c r="L2668" s="870"/>
      <c r="M2668" s="870"/>
      <c r="N2668" s="870"/>
      <c r="O2668" s="870"/>
      <c r="P2668" s="870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73"/>
      <c r="E2669" s="677"/>
      <c r="F2669" s="677"/>
      <c r="G2669" s="677"/>
      <c r="H2669" s="872"/>
      <c r="I2669" s="871"/>
      <c r="J2669" s="871"/>
      <c r="K2669" s="870"/>
      <c r="L2669" s="870"/>
      <c r="M2669" s="870"/>
      <c r="N2669" s="870"/>
      <c r="O2669" s="870"/>
      <c r="P2669" s="870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73"/>
      <c r="E2670" s="677"/>
      <c r="F2670" s="677"/>
      <c r="G2670" s="677"/>
      <c r="H2670" s="872"/>
      <c r="I2670" s="871"/>
      <c r="J2670" s="871"/>
      <c r="K2670" s="870"/>
      <c r="L2670" s="870"/>
      <c r="M2670" s="870"/>
      <c r="N2670" s="870"/>
      <c r="O2670" s="870"/>
      <c r="P2670" s="870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73"/>
      <c r="E2671" s="677"/>
      <c r="F2671" s="677"/>
      <c r="G2671" s="677"/>
      <c r="H2671" s="872"/>
      <c r="I2671" s="871"/>
      <c r="J2671" s="871"/>
      <c r="K2671" s="870"/>
      <c r="L2671" s="870"/>
      <c r="M2671" s="870"/>
      <c r="N2671" s="870"/>
      <c r="O2671" s="870"/>
      <c r="P2671" s="870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73"/>
      <c r="E2672" s="677"/>
      <c r="F2672" s="677"/>
      <c r="G2672" s="677"/>
      <c r="H2672" s="872"/>
      <c r="I2672" s="871"/>
      <c r="J2672" s="871"/>
      <c r="K2672" s="870"/>
      <c r="L2672" s="870"/>
      <c r="M2672" s="870"/>
      <c r="N2672" s="870"/>
      <c r="O2672" s="870"/>
      <c r="P2672" s="870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73"/>
      <c r="E2673" s="677"/>
      <c r="F2673" s="677"/>
      <c r="G2673" s="677"/>
      <c r="H2673" s="872"/>
      <c r="I2673" s="871"/>
      <c r="J2673" s="871"/>
      <c r="K2673" s="870"/>
      <c r="L2673" s="870"/>
      <c r="M2673" s="870"/>
      <c r="N2673" s="870"/>
      <c r="O2673" s="870"/>
      <c r="P2673" s="870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73"/>
      <c r="E2674" s="677"/>
      <c r="F2674" s="677"/>
      <c r="G2674" s="677"/>
      <c r="H2674" s="872"/>
      <c r="I2674" s="871"/>
      <c r="J2674" s="871"/>
      <c r="K2674" s="870"/>
      <c r="L2674" s="870"/>
      <c r="M2674" s="870"/>
      <c r="N2674" s="870"/>
      <c r="O2674" s="870"/>
      <c r="P2674" s="870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73"/>
      <c r="E2675" s="677"/>
      <c r="F2675" s="677"/>
      <c r="G2675" s="677"/>
      <c r="H2675" s="872"/>
      <c r="I2675" s="871"/>
      <c r="J2675" s="871"/>
      <c r="K2675" s="870"/>
      <c r="L2675" s="870"/>
      <c r="M2675" s="870"/>
      <c r="N2675" s="870"/>
      <c r="O2675" s="870"/>
      <c r="P2675" s="870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73"/>
      <c r="E2676" s="677"/>
      <c r="F2676" s="677"/>
      <c r="G2676" s="677"/>
      <c r="H2676" s="872"/>
      <c r="I2676" s="871"/>
      <c r="J2676" s="871"/>
      <c r="K2676" s="870"/>
      <c r="L2676" s="870"/>
      <c r="M2676" s="870"/>
      <c r="N2676" s="870"/>
      <c r="O2676" s="870"/>
      <c r="P2676" s="870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73"/>
      <c r="E2677" s="677"/>
      <c r="F2677" s="677"/>
      <c r="G2677" s="677"/>
      <c r="H2677" s="872"/>
      <c r="I2677" s="871"/>
      <c r="J2677" s="871"/>
      <c r="K2677" s="870"/>
      <c r="L2677" s="870"/>
      <c r="M2677" s="870"/>
      <c r="N2677" s="870"/>
      <c r="O2677" s="870"/>
      <c r="P2677" s="870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73"/>
      <c r="E2678" s="677"/>
      <c r="F2678" s="677"/>
      <c r="G2678" s="677"/>
      <c r="H2678" s="872"/>
      <c r="I2678" s="871"/>
      <c r="J2678" s="871"/>
      <c r="K2678" s="870"/>
      <c r="L2678" s="870"/>
      <c r="M2678" s="870"/>
      <c r="N2678" s="870"/>
      <c r="O2678" s="870"/>
      <c r="P2678" s="870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73"/>
      <c r="E2679" s="677"/>
      <c r="F2679" s="677"/>
      <c r="G2679" s="677"/>
      <c r="H2679" s="872"/>
      <c r="I2679" s="871"/>
      <c r="J2679" s="871"/>
      <c r="K2679" s="870"/>
      <c r="L2679" s="870"/>
      <c r="M2679" s="870"/>
      <c r="N2679" s="870"/>
      <c r="O2679" s="870"/>
      <c r="P2679" s="870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73"/>
      <c r="E2680" s="677"/>
      <c r="F2680" s="677"/>
      <c r="G2680" s="677"/>
      <c r="H2680" s="872"/>
      <c r="I2680" s="871"/>
      <c r="J2680" s="871"/>
      <c r="K2680" s="870"/>
      <c r="L2680" s="870"/>
      <c r="M2680" s="870"/>
      <c r="N2680" s="870"/>
      <c r="O2680" s="870"/>
      <c r="P2680" s="870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73"/>
      <c r="E2681" s="677"/>
      <c r="F2681" s="677"/>
      <c r="G2681" s="677"/>
      <c r="H2681" s="872"/>
      <c r="I2681" s="871"/>
      <c r="J2681" s="871"/>
      <c r="K2681" s="870"/>
      <c r="L2681" s="870"/>
      <c r="M2681" s="870"/>
      <c r="N2681" s="870"/>
      <c r="O2681" s="870"/>
      <c r="P2681" s="870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73"/>
      <c r="E2682" s="677"/>
      <c r="F2682" s="677"/>
      <c r="G2682" s="677"/>
      <c r="H2682" s="872"/>
      <c r="I2682" s="871"/>
      <c r="J2682" s="871"/>
      <c r="K2682" s="870"/>
      <c r="L2682" s="870"/>
      <c r="M2682" s="870"/>
      <c r="N2682" s="870"/>
      <c r="O2682" s="870"/>
      <c r="P2682" s="870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73"/>
      <c r="E2683" s="677"/>
      <c r="F2683" s="677"/>
      <c r="G2683" s="677"/>
      <c r="H2683" s="872"/>
      <c r="I2683" s="871"/>
      <c r="J2683" s="871"/>
      <c r="K2683" s="870"/>
      <c r="L2683" s="870"/>
      <c r="M2683" s="870"/>
      <c r="N2683" s="870"/>
      <c r="O2683" s="870"/>
      <c r="P2683" s="870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73"/>
      <c r="E2684" s="677"/>
      <c r="F2684" s="677"/>
      <c r="G2684" s="677"/>
      <c r="H2684" s="872"/>
      <c r="I2684" s="871"/>
      <c r="J2684" s="871"/>
      <c r="K2684" s="870"/>
      <c r="L2684" s="870"/>
      <c r="M2684" s="870"/>
      <c r="N2684" s="870"/>
      <c r="O2684" s="870"/>
      <c r="P2684" s="870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73"/>
      <c r="E2685" s="677"/>
      <c r="F2685" s="677"/>
      <c r="G2685" s="677"/>
      <c r="H2685" s="872"/>
      <c r="I2685" s="871"/>
      <c r="J2685" s="871"/>
      <c r="K2685" s="870"/>
      <c r="L2685" s="870"/>
      <c r="M2685" s="870"/>
      <c r="N2685" s="870"/>
      <c r="O2685" s="870"/>
      <c r="P2685" s="870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73"/>
      <c r="E2686" s="677"/>
      <c r="F2686" s="677"/>
      <c r="G2686" s="677"/>
      <c r="H2686" s="872"/>
      <c r="I2686" s="871"/>
      <c r="J2686" s="871"/>
      <c r="K2686" s="870"/>
      <c r="L2686" s="870"/>
      <c r="M2686" s="870"/>
      <c r="N2686" s="870"/>
      <c r="O2686" s="870"/>
      <c r="P2686" s="870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73"/>
      <c r="E2687" s="677"/>
      <c r="F2687" s="677"/>
      <c r="G2687" s="677"/>
      <c r="H2687" s="872"/>
      <c r="I2687" s="871"/>
      <c r="J2687" s="871"/>
      <c r="K2687" s="870"/>
      <c r="L2687" s="870"/>
      <c r="M2687" s="870"/>
      <c r="N2687" s="870"/>
      <c r="O2687" s="870"/>
      <c r="P2687" s="870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73"/>
      <c r="E2688" s="677"/>
      <c r="F2688" s="677"/>
      <c r="G2688" s="677"/>
      <c r="H2688" s="872"/>
      <c r="I2688" s="871"/>
      <c r="J2688" s="871"/>
      <c r="K2688" s="870"/>
      <c r="L2688" s="870"/>
      <c r="M2688" s="870"/>
      <c r="N2688" s="870"/>
      <c r="O2688" s="870"/>
      <c r="P2688" s="870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73"/>
      <c r="E2689" s="677"/>
      <c r="F2689" s="677"/>
      <c r="G2689" s="677"/>
      <c r="H2689" s="872"/>
      <c r="I2689" s="871"/>
      <c r="J2689" s="871"/>
      <c r="K2689" s="870"/>
      <c r="L2689" s="870"/>
      <c r="M2689" s="870"/>
      <c r="N2689" s="870"/>
      <c r="O2689" s="870"/>
      <c r="P2689" s="870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73"/>
      <c r="E2690" s="677"/>
      <c r="F2690" s="677"/>
      <c r="G2690" s="677"/>
      <c r="H2690" s="872"/>
      <c r="I2690" s="871"/>
      <c r="J2690" s="871"/>
      <c r="K2690" s="870"/>
      <c r="L2690" s="870"/>
      <c r="M2690" s="870"/>
      <c r="N2690" s="870"/>
      <c r="O2690" s="870"/>
      <c r="P2690" s="870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73"/>
      <c r="E2691" s="677"/>
      <c r="F2691" s="677"/>
      <c r="G2691" s="677"/>
      <c r="H2691" s="872"/>
      <c r="I2691" s="871"/>
      <c r="J2691" s="871"/>
      <c r="K2691" s="870"/>
      <c r="L2691" s="870"/>
      <c r="M2691" s="870"/>
      <c r="N2691" s="870"/>
      <c r="O2691" s="870"/>
      <c r="P2691" s="870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73"/>
      <c r="E2692" s="677"/>
      <c r="F2692" s="677"/>
      <c r="G2692" s="677"/>
      <c r="H2692" s="872"/>
      <c r="I2692" s="871"/>
      <c r="J2692" s="871"/>
      <c r="K2692" s="870"/>
      <c r="L2692" s="870"/>
      <c r="M2692" s="870"/>
      <c r="N2692" s="870"/>
      <c r="O2692" s="870"/>
      <c r="P2692" s="870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73"/>
      <c r="E2693" s="677"/>
      <c r="F2693" s="677"/>
      <c r="G2693" s="677"/>
      <c r="H2693" s="872"/>
      <c r="I2693" s="871"/>
      <c r="J2693" s="871"/>
      <c r="K2693" s="870"/>
      <c r="L2693" s="870"/>
      <c r="M2693" s="870"/>
      <c r="N2693" s="870"/>
      <c r="O2693" s="870"/>
      <c r="P2693" s="870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73"/>
      <c r="E2694" s="677"/>
      <c r="F2694" s="677"/>
      <c r="G2694" s="677"/>
      <c r="H2694" s="872"/>
      <c r="I2694" s="871"/>
      <c r="J2694" s="871"/>
      <c r="K2694" s="870"/>
      <c r="L2694" s="870"/>
      <c r="M2694" s="870"/>
      <c r="N2694" s="870"/>
      <c r="O2694" s="870"/>
      <c r="P2694" s="870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73"/>
      <c r="E2695" s="677"/>
      <c r="F2695" s="677"/>
      <c r="G2695" s="677"/>
      <c r="H2695" s="872"/>
      <c r="I2695" s="871"/>
      <c r="J2695" s="871"/>
      <c r="K2695" s="870"/>
      <c r="L2695" s="870"/>
      <c r="M2695" s="870"/>
      <c r="N2695" s="870"/>
      <c r="O2695" s="870"/>
      <c r="P2695" s="870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73"/>
      <c r="E2696" s="677"/>
      <c r="F2696" s="677"/>
      <c r="G2696" s="677"/>
      <c r="H2696" s="872"/>
      <c r="I2696" s="871"/>
      <c r="J2696" s="871"/>
      <c r="K2696" s="870"/>
      <c r="L2696" s="870"/>
      <c r="M2696" s="870"/>
      <c r="N2696" s="870"/>
      <c r="O2696" s="870"/>
      <c r="P2696" s="870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73"/>
      <c r="E2697" s="677"/>
      <c r="F2697" s="677"/>
      <c r="G2697" s="677"/>
      <c r="H2697" s="872"/>
      <c r="I2697" s="871"/>
      <c r="J2697" s="871"/>
      <c r="K2697" s="870"/>
      <c r="L2697" s="870"/>
      <c r="M2697" s="870"/>
      <c r="N2697" s="870"/>
      <c r="O2697" s="870"/>
      <c r="P2697" s="870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73"/>
      <c r="E2698" s="677"/>
      <c r="F2698" s="677"/>
      <c r="G2698" s="677"/>
      <c r="H2698" s="872"/>
      <c r="I2698" s="871"/>
      <c r="J2698" s="871"/>
      <c r="K2698" s="870"/>
      <c r="L2698" s="870"/>
      <c r="M2698" s="870"/>
      <c r="N2698" s="870"/>
      <c r="O2698" s="870"/>
      <c r="P2698" s="870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73"/>
      <c r="E2699" s="677"/>
      <c r="F2699" s="677"/>
      <c r="G2699" s="677"/>
      <c r="H2699" s="872"/>
      <c r="I2699" s="871"/>
      <c r="J2699" s="871"/>
      <c r="K2699" s="870"/>
      <c r="L2699" s="870"/>
      <c r="M2699" s="870"/>
      <c r="N2699" s="870"/>
      <c r="O2699" s="870"/>
      <c r="P2699" s="870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73"/>
      <c r="E2700" s="677"/>
      <c r="F2700" s="677"/>
      <c r="G2700" s="677"/>
      <c r="H2700" s="872"/>
      <c r="I2700" s="871"/>
      <c r="J2700" s="871"/>
      <c r="K2700" s="870"/>
      <c r="L2700" s="870"/>
      <c r="M2700" s="870"/>
      <c r="N2700" s="870"/>
      <c r="O2700" s="870"/>
      <c r="P2700" s="870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73"/>
      <c r="E2701" s="677"/>
      <c r="F2701" s="677"/>
      <c r="G2701" s="677"/>
      <c r="H2701" s="872"/>
      <c r="I2701" s="871"/>
      <c r="J2701" s="871"/>
      <c r="K2701" s="870"/>
      <c r="L2701" s="870"/>
      <c r="M2701" s="870"/>
      <c r="N2701" s="870"/>
      <c r="O2701" s="870"/>
      <c r="P2701" s="870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73"/>
      <c r="E2702" s="677"/>
      <c r="F2702" s="677"/>
      <c r="G2702" s="677"/>
      <c r="H2702" s="872"/>
      <c r="I2702" s="871"/>
      <c r="J2702" s="871"/>
      <c r="K2702" s="870"/>
      <c r="L2702" s="870"/>
      <c r="M2702" s="870"/>
      <c r="N2702" s="870"/>
      <c r="O2702" s="870"/>
      <c r="P2702" s="870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73"/>
      <c r="E2703" s="677"/>
      <c r="F2703" s="677"/>
      <c r="G2703" s="677"/>
      <c r="H2703" s="872"/>
      <c r="I2703" s="871"/>
      <c r="J2703" s="871"/>
      <c r="K2703" s="870"/>
      <c r="L2703" s="870"/>
      <c r="M2703" s="870"/>
      <c r="N2703" s="870"/>
      <c r="O2703" s="870"/>
      <c r="P2703" s="870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73"/>
      <c r="E2704" s="677"/>
      <c r="F2704" s="677"/>
      <c r="G2704" s="677"/>
      <c r="H2704" s="872"/>
      <c r="I2704" s="871"/>
      <c r="J2704" s="871"/>
      <c r="K2704" s="870"/>
      <c r="L2704" s="870"/>
      <c r="M2704" s="870"/>
      <c r="N2704" s="870"/>
      <c r="O2704" s="870"/>
      <c r="P2704" s="870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73"/>
      <c r="E2705" s="677"/>
      <c r="F2705" s="677"/>
      <c r="G2705" s="677"/>
      <c r="H2705" s="872"/>
      <c r="I2705" s="871"/>
      <c r="J2705" s="871"/>
      <c r="K2705" s="870"/>
      <c r="L2705" s="870"/>
      <c r="M2705" s="870"/>
      <c r="N2705" s="870"/>
      <c r="O2705" s="870"/>
      <c r="P2705" s="870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73"/>
      <c r="E2706" s="677"/>
      <c r="F2706" s="677"/>
      <c r="G2706" s="677"/>
      <c r="H2706" s="872"/>
      <c r="I2706" s="871"/>
      <c r="J2706" s="871"/>
      <c r="K2706" s="870"/>
      <c r="L2706" s="870"/>
      <c r="M2706" s="870"/>
      <c r="N2706" s="870"/>
      <c r="O2706" s="870"/>
      <c r="P2706" s="870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73"/>
      <c r="E2707" s="677"/>
      <c r="F2707" s="677"/>
      <c r="G2707" s="677"/>
      <c r="H2707" s="872"/>
      <c r="I2707" s="871"/>
      <c r="J2707" s="871"/>
      <c r="K2707" s="870"/>
      <c r="L2707" s="870"/>
      <c r="M2707" s="870"/>
      <c r="N2707" s="870"/>
      <c r="O2707" s="870"/>
      <c r="P2707" s="870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73"/>
      <c r="E2708" s="677"/>
      <c r="F2708" s="677"/>
      <c r="G2708" s="677"/>
      <c r="H2708" s="872"/>
      <c r="I2708" s="871"/>
      <c r="J2708" s="871"/>
      <c r="K2708" s="870"/>
      <c r="L2708" s="870"/>
      <c r="M2708" s="870"/>
      <c r="N2708" s="870"/>
      <c r="O2708" s="870"/>
      <c r="P2708" s="870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73"/>
      <c r="E2709" s="677"/>
      <c r="F2709" s="677"/>
      <c r="G2709" s="677"/>
      <c r="H2709" s="872"/>
      <c r="I2709" s="871"/>
      <c r="J2709" s="871"/>
      <c r="K2709" s="870"/>
      <c r="L2709" s="870"/>
      <c r="M2709" s="870"/>
      <c r="N2709" s="870"/>
      <c r="O2709" s="870"/>
      <c r="P2709" s="870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73"/>
      <c r="E2710" s="677"/>
      <c r="F2710" s="677"/>
      <c r="G2710" s="677"/>
      <c r="H2710" s="872"/>
      <c r="I2710" s="871"/>
      <c r="J2710" s="871"/>
      <c r="K2710" s="870"/>
      <c r="L2710" s="870"/>
      <c r="M2710" s="870"/>
      <c r="N2710" s="870"/>
      <c r="O2710" s="870"/>
      <c r="P2710" s="870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73"/>
      <c r="E2711" s="677"/>
      <c r="F2711" s="677"/>
      <c r="G2711" s="677"/>
      <c r="H2711" s="872"/>
      <c r="I2711" s="871"/>
      <c r="J2711" s="871"/>
      <c r="K2711" s="870"/>
      <c r="L2711" s="870"/>
      <c r="M2711" s="870"/>
      <c r="N2711" s="870"/>
      <c r="O2711" s="870"/>
      <c r="P2711" s="870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73"/>
      <c r="E2712" s="677"/>
      <c r="F2712" s="677"/>
      <c r="G2712" s="677"/>
      <c r="H2712" s="872"/>
      <c r="I2712" s="871"/>
      <c r="J2712" s="871"/>
      <c r="K2712" s="870"/>
      <c r="L2712" s="870"/>
      <c r="M2712" s="870"/>
      <c r="N2712" s="870"/>
      <c r="O2712" s="870"/>
      <c r="P2712" s="870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73"/>
      <c r="E2713" s="677"/>
      <c r="F2713" s="677"/>
      <c r="G2713" s="677"/>
      <c r="H2713" s="872"/>
      <c r="I2713" s="871"/>
      <c r="J2713" s="871"/>
      <c r="K2713" s="870"/>
      <c r="L2713" s="870"/>
      <c r="M2713" s="870"/>
      <c r="N2713" s="870"/>
      <c r="O2713" s="870"/>
      <c r="P2713" s="870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73"/>
      <c r="E2714" s="677"/>
      <c r="F2714" s="677"/>
      <c r="G2714" s="677"/>
      <c r="H2714" s="872"/>
      <c r="I2714" s="871"/>
      <c r="J2714" s="871"/>
      <c r="K2714" s="870"/>
      <c r="L2714" s="870"/>
      <c r="M2714" s="870"/>
      <c r="N2714" s="870"/>
      <c r="O2714" s="870"/>
      <c r="P2714" s="870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73"/>
      <c r="E2715" s="677"/>
      <c r="F2715" s="677"/>
      <c r="G2715" s="677"/>
      <c r="H2715" s="872"/>
      <c r="I2715" s="871"/>
      <c r="J2715" s="871"/>
      <c r="K2715" s="870"/>
      <c r="L2715" s="870"/>
      <c r="M2715" s="870"/>
      <c r="N2715" s="870"/>
      <c r="O2715" s="870"/>
      <c r="P2715" s="870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73"/>
      <c r="E2716" s="677"/>
      <c r="F2716" s="677"/>
      <c r="G2716" s="677"/>
      <c r="H2716" s="872"/>
      <c r="I2716" s="871"/>
      <c r="J2716" s="871"/>
      <c r="K2716" s="870"/>
      <c r="L2716" s="870"/>
      <c r="M2716" s="870"/>
      <c r="N2716" s="870"/>
      <c r="O2716" s="870"/>
      <c r="P2716" s="870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73"/>
      <c r="E2717" s="677"/>
      <c r="F2717" s="677"/>
      <c r="G2717" s="677"/>
      <c r="H2717" s="872"/>
      <c r="I2717" s="871"/>
      <c r="J2717" s="871"/>
      <c r="K2717" s="870"/>
      <c r="L2717" s="870"/>
      <c r="M2717" s="870"/>
      <c r="N2717" s="870"/>
      <c r="O2717" s="870"/>
      <c r="P2717" s="870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73"/>
      <c r="E2718" s="677"/>
      <c r="F2718" s="677"/>
      <c r="G2718" s="677"/>
      <c r="H2718" s="872"/>
      <c r="I2718" s="871"/>
      <c r="J2718" s="871"/>
      <c r="K2718" s="870"/>
      <c r="L2718" s="870"/>
      <c r="M2718" s="870"/>
      <c r="N2718" s="870"/>
      <c r="O2718" s="870"/>
      <c r="P2718" s="870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73"/>
      <c r="E2719" s="677"/>
      <c r="F2719" s="677"/>
      <c r="G2719" s="677"/>
      <c r="H2719" s="872"/>
      <c r="I2719" s="871"/>
      <c r="J2719" s="871"/>
      <c r="K2719" s="870"/>
      <c r="L2719" s="870"/>
      <c r="M2719" s="870"/>
      <c r="N2719" s="870"/>
      <c r="O2719" s="870"/>
      <c r="P2719" s="870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73"/>
      <c r="E2720" s="677"/>
      <c r="F2720" s="677"/>
      <c r="G2720" s="677"/>
      <c r="H2720" s="872"/>
      <c r="I2720" s="871"/>
      <c r="J2720" s="871"/>
      <c r="K2720" s="870"/>
      <c r="L2720" s="870"/>
      <c r="M2720" s="870"/>
      <c r="N2720" s="870"/>
      <c r="O2720" s="870"/>
      <c r="P2720" s="870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73"/>
      <c r="E2721" s="677"/>
      <c r="F2721" s="677"/>
      <c r="G2721" s="677"/>
      <c r="H2721" s="872"/>
      <c r="I2721" s="871"/>
      <c r="J2721" s="871"/>
      <c r="K2721" s="870"/>
      <c r="L2721" s="870"/>
      <c r="M2721" s="870"/>
      <c r="N2721" s="870"/>
      <c r="O2721" s="870"/>
      <c r="P2721" s="870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73"/>
      <c r="E2722" s="677"/>
      <c r="F2722" s="677"/>
      <c r="G2722" s="677"/>
      <c r="H2722" s="872"/>
      <c r="I2722" s="871"/>
      <c r="J2722" s="871"/>
      <c r="K2722" s="870"/>
      <c r="L2722" s="870"/>
      <c r="M2722" s="870"/>
      <c r="N2722" s="870"/>
      <c r="O2722" s="870"/>
      <c r="P2722" s="870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73"/>
      <c r="E2723" s="677"/>
      <c r="F2723" s="677"/>
      <c r="G2723" s="677"/>
      <c r="H2723" s="872"/>
      <c r="I2723" s="871"/>
      <c r="J2723" s="871"/>
      <c r="K2723" s="870"/>
      <c r="L2723" s="870"/>
      <c r="M2723" s="870"/>
      <c r="N2723" s="870"/>
      <c r="O2723" s="870"/>
      <c r="P2723" s="870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73"/>
      <c r="E2724" s="677"/>
      <c r="F2724" s="677"/>
      <c r="G2724" s="677"/>
      <c r="H2724" s="872"/>
      <c r="I2724" s="871"/>
      <c r="J2724" s="871"/>
      <c r="K2724" s="870"/>
      <c r="L2724" s="870"/>
      <c r="M2724" s="870"/>
      <c r="N2724" s="870"/>
      <c r="O2724" s="870"/>
      <c r="P2724" s="870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73"/>
      <c r="E2725" s="677"/>
      <c r="F2725" s="677"/>
      <c r="G2725" s="677"/>
      <c r="H2725" s="872"/>
      <c r="I2725" s="871"/>
      <c r="J2725" s="871"/>
      <c r="K2725" s="870"/>
      <c r="L2725" s="870"/>
      <c r="M2725" s="870"/>
      <c r="N2725" s="870"/>
      <c r="O2725" s="870"/>
      <c r="P2725" s="870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73"/>
      <c r="E2726" s="677"/>
      <c r="F2726" s="677"/>
      <c r="G2726" s="677"/>
      <c r="H2726" s="872"/>
      <c r="I2726" s="871"/>
      <c r="J2726" s="871"/>
      <c r="K2726" s="870"/>
      <c r="L2726" s="870"/>
      <c r="M2726" s="870"/>
      <c r="N2726" s="870"/>
      <c r="O2726" s="870"/>
      <c r="P2726" s="870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73"/>
      <c r="E2727" s="677"/>
      <c r="F2727" s="677"/>
      <c r="G2727" s="677"/>
      <c r="H2727" s="872"/>
      <c r="I2727" s="871"/>
      <c r="J2727" s="871"/>
      <c r="K2727" s="870"/>
      <c r="L2727" s="870"/>
      <c r="M2727" s="870"/>
      <c r="N2727" s="870"/>
      <c r="O2727" s="870"/>
      <c r="P2727" s="870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73"/>
      <c r="E2728" s="677"/>
      <c r="F2728" s="677"/>
      <c r="G2728" s="677"/>
      <c r="H2728" s="872"/>
      <c r="I2728" s="871"/>
      <c r="J2728" s="871"/>
      <c r="K2728" s="870"/>
      <c r="L2728" s="870"/>
      <c r="M2728" s="870"/>
      <c r="N2728" s="870"/>
      <c r="O2728" s="870"/>
      <c r="P2728" s="870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73"/>
      <c r="E2729" s="677"/>
      <c r="F2729" s="677"/>
      <c r="G2729" s="677"/>
      <c r="H2729" s="872"/>
      <c r="I2729" s="871"/>
      <c r="J2729" s="871"/>
      <c r="K2729" s="870"/>
      <c r="L2729" s="870"/>
      <c r="M2729" s="870"/>
      <c r="N2729" s="870"/>
      <c r="O2729" s="870"/>
      <c r="P2729" s="870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73"/>
      <c r="E2730" s="677"/>
      <c r="F2730" s="677"/>
      <c r="G2730" s="677"/>
      <c r="H2730" s="872"/>
      <c r="I2730" s="871"/>
      <c r="J2730" s="871"/>
      <c r="K2730" s="870"/>
      <c r="L2730" s="870"/>
      <c r="M2730" s="870"/>
      <c r="N2730" s="870"/>
      <c r="O2730" s="870"/>
      <c r="P2730" s="870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73"/>
      <c r="E2731" s="677"/>
      <c r="F2731" s="677"/>
      <c r="G2731" s="677"/>
      <c r="H2731" s="872"/>
      <c r="I2731" s="871"/>
      <c r="J2731" s="871"/>
      <c r="K2731" s="870"/>
      <c r="L2731" s="870"/>
      <c r="M2731" s="870"/>
      <c r="N2731" s="870"/>
      <c r="O2731" s="870"/>
      <c r="P2731" s="870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73"/>
      <c r="E2732" s="677"/>
      <c r="F2732" s="677"/>
      <c r="G2732" s="677"/>
      <c r="H2732" s="872"/>
      <c r="I2732" s="871"/>
      <c r="J2732" s="871"/>
      <c r="K2732" s="870"/>
      <c r="L2732" s="870"/>
      <c r="M2732" s="870"/>
      <c r="N2732" s="870"/>
      <c r="O2732" s="870"/>
      <c r="P2732" s="870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73"/>
      <c r="E2733" s="677"/>
      <c r="F2733" s="677"/>
      <c r="G2733" s="677"/>
      <c r="H2733" s="872"/>
      <c r="I2733" s="871"/>
      <c r="J2733" s="871"/>
      <c r="K2733" s="870"/>
      <c r="L2733" s="870"/>
      <c r="M2733" s="870"/>
      <c r="N2733" s="870"/>
      <c r="O2733" s="870"/>
      <c r="P2733" s="870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73"/>
      <c r="E2734" s="677"/>
      <c r="F2734" s="677"/>
      <c r="G2734" s="677"/>
      <c r="H2734" s="872"/>
      <c r="I2734" s="871"/>
      <c r="J2734" s="871"/>
      <c r="K2734" s="870"/>
      <c r="L2734" s="870"/>
      <c r="M2734" s="870"/>
      <c r="N2734" s="870"/>
      <c r="O2734" s="870"/>
      <c r="P2734" s="870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73"/>
      <c r="E2735" s="677"/>
      <c r="F2735" s="677"/>
      <c r="G2735" s="677"/>
      <c r="H2735" s="872"/>
      <c r="I2735" s="871"/>
      <c r="J2735" s="871"/>
      <c r="K2735" s="870"/>
      <c r="L2735" s="870"/>
      <c r="M2735" s="870"/>
      <c r="N2735" s="870"/>
      <c r="O2735" s="870"/>
      <c r="P2735" s="870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73"/>
      <c r="E2736" s="677"/>
      <c r="F2736" s="677"/>
      <c r="G2736" s="677"/>
      <c r="H2736" s="872"/>
      <c r="I2736" s="871"/>
      <c r="J2736" s="871"/>
      <c r="K2736" s="870"/>
      <c r="L2736" s="870"/>
      <c r="M2736" s="870"/>
      <c r="N2736" s="870"/>
      <c r="O2736" s="870"/>
      <c r="P2736" s="870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73"/>
      <c r="E2737" s="677"/>
      <c r="F2737" s="677"/>
      <c r="G2737" s="677"/>
      <c r="H2737" s="872"/>
      <c r="I2737" s="871"/>
      <c r="J2737" s="871"/>
      <c r="K2737" s="870"/>
      <c r="L2737" s="870"/>
      <c r="M2737" s="870"/>
      <c r="N2737" s="870"/>
      <c r="O2737" s="870"/>
      <c r="P2737" s="870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73"/>
      <c r="E2738" s="677"/>
      <c r="F2738" s="677"/>
      <c r="G2738" s="677"/>
      <c r="H2738" s="872"/>
      <c r="I2738" s="871"/>
      <c r="J2738" s="871"/>
      <c r="K2738" s="870"/>
      <c r="L2738" s="870"/>
      <c r="M2738" s="870"/>
      <c r="N2738" s="870"/>
      <c r="O2738" s="870"/>
      <c r="P2738" s="870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73"/>
      <c r="E2739" s="677"/>
      <c r="F2739" s="677"/>
      <c r="G2739" s="677"/>
      <c r="H2739" s="872"/>
      <c r="I2739" s="871"/>
      <c r="J2739" s="871"/>
      <c r="K2739" s="870"/>
      <c r="L2739" s="870"/>
      <c r="M2739" s="870"/>
      <c r="N2739" s="870"/>
      <c r="O2739" s="870"/>
      <c r="P2739" s="870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73"/>
      <c r="E2740" s="677"/>
      <c r="F2740" s="677"/>
      <c r="G2740" s="677"/>
      <c r="H2740" s="872"/>
      <c r="I2740" s="871"/>
      <c r="J2740" s="871"/>
      <c r="K2740" s="870"/>
      <c r="L2740" s="870"/>
      <c r="M2740" s="870"/>
      <c r="N2740" s="870"/>
      <c r="O2740" s="870"/>
      <c r="P2740" s="870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73"/>
      <c r="E2741" s="677"/>
      <c r="F2741" s="677"/>
      <c r="G2741" s="677"/>
      <c r="H2741" s="872"/>
      <c r="I2741" s="871"/>
      <c r="J2741" s="871"/>
      <c r="K2741" s="870"/>
      <c r="L2741" s="870"/>
      <c r="M2741" s="870"/>
      <c r="N2741" s="870"/>
      <c r="O2741" s="870"/>
      <c r="P2741" s="870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73"/>
      <c r="E2742" s="677"/>
      <c r="F2742" s="677"/>
      <c r="G2742" s="677"/>
      <c r="H2742" s="872"/>
      <c r="I2742" s="871"/>
      <c r="J2742" s="871"/>
      <c r="K2742" s="870"/>
      <c r="L2742" s="870"/>
      <c r="M2742" s="870"/>
      <c r="N2742" s="870"/>
      <c r="O2742" s="870"/>
      <c r="P2742" s="870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73"/>
      <c r="E2743" s="677"/>
      <c r="F2743" s="677"/>
      <c r="G2743" s="677"/>
      <c r="H2743" s="872"/>
      <c r="I2743" s="871"/>
      <c r="J2743" s="871"/>
      <c r="K2743" s="870"/>
      <c r="L2743" s="870"/>
      <c r="M2743" s="870"/>
      <c r="N2743" s="870"/>
      <c r="O2743" s="870"/>
      <c r="P2743" s="870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73"/>
      <c r="E2744" s="677"/>
      <c r="F2744" s="677"/>
      <c r="G2744" s="677"/>
      <c r="H2744" s="872"/>
      <c r="I2744" s="871"/>
      <c r="J2744" s="871"/>
      <c r="K2744" s="870"/>
      <c r="L2744" s="870"/>
      <c r="M2744" s="870"/>
      <c r="N2744" s="870"/>
      <c r="O2744" s="870"/>
      <c r="P2744" s="870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73"/>
      <c r="E2745" s="677"/>
      <c r="F2745" s="677"/>
      <c r="G2745" s="677"/>
      <c r="H2745" s="872"/>
      <c r="I2745" s="871"/>
      <c r="J2745" s="871"/>
      <c r="K2745" s="870"/>
      <c r="L2745" s="870"/>
      <c r="M2745" s="870"/>
      <c r="N2745" s="870"/>
      <c r="O2745" s="870"/>
      <c r="P2745" s="870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73"/>
      <c r="E2746" s="677"/>
      <c r="F2746" s="677"/>
      <c r="G2746" s="677"/>
      <c r="H2746" s="872"/>
      <c r="I2746" s="871"/>
      <c r="J2746" s="871"/>
      <c r="K2746" s="870"/>
      <c r="L2746" s="870"/>
      <c r="M2746" s="870"/>
      <c r="N2746" s="870"/>
      <c r="O2746" s="870"/>
      <c r="P2746" s="870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73"/>
      <c r="E2747" s="677"/>
      <c r="F2747" s="677"/>
      <c r="G2747" s="677"/>
      <c r="H2747" s="872"/>
      <c r="I2747" s="871"/>
      <c r="J2747" s="871"/>
      <c r="K2747" s="870"/>
      <c r="L2747" s="870"/>
      <c r="M2747" s="870"/>
      <c r="N2747" s="870"/>
      <c r="O2747" s="870"/>
      <c r="P2747" s="870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73"/>
      <c r="E2748" s="677"/>
      <c r="F2748" s="677"/>
      <c r="G2748" s="677"/>
      <c r="H2748" s="872"/>
      <c r="I2748" s="871"/>
      <c r="J2748" s="871"/>
      <c r="K2748" s="870"/>
      <c r="L2748" s="870"/>
      <c r="M2748" s="870"/>
      <c r="N2748" s="870"/>
      <c r="O2748" s="870"/>
      <c r="P2748" s="870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73"/>
      <c r="E2749" s="677"/>
      <c r="F2749" s="677"/>
      <c r="G2749" s="677"/>
      <c r="H2749" s="872"/>
      <c r="I2749" s="871"/>
      <c r="J2749" s="871"/>
      <c r="K2749" s="870"/>
      <c r="L2749" s="870"/>
      <c r="M2749" s="870"/>
      <c r="N2749" s="870"/>
      <c r="O2749" s="870"/>
      <c r="P2749" s="870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73"/>
      <c r="E2750" s="677"/>
      <c r="F2750" s="677"/>
      <c r="G2750" s="677"/>
      <c r="H2750" s="872"/>
      <c r="I2750" s="871"/>
      <c r="J2750" s="871"/>
      <c r="K2750" s="870"/>
      <c r="L2750" s="870"/>
      <c r="M2750" s="870"/>
      <c r="N2750" s="870"/>
      <c r="O2750" s="870"/>
      <c r="P2750" s="870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73"/>
      <c r="E2751" s="677"/>
      <c r="F2751" s="677"/>
      <c r="G2751" s="677"/>
      <c r="H2751" s="872"/>
      <c r="I2751" s="871"/>
      <c r="J2751" s="871"/>
      <c r="K2751" s="870"/>
      <c r="L2751" s="870"/>
      <c r="M2751" s="870"/>
      <c r="N2751" s="870"/>
      <c r="O2751" s="870"/>
      <c r="P2751" s="870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73"/>
      <c r="E2752" s="677"/>
      <c r="F2752" s="677"/>
      <c r="G2752" s="677"/>
      <c r="H2752" s="872"/>
      <c r="I2752" s="871"/>
      <c r="J2752" s="871"/>
      <c r="K2752" s="870"/>
      <c r="L2752" s="870"/>
      <c r="M2752" s="870"/>
      <c r="N2752" s="870"/>
      <c r="O2752" s="870"/>
      <c r="P2752" s="870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73"/>
      <c r="E2753" s="677"/>
      <c r="F2753" s="677"/>
      <c r="G2753" s="677"/>
      <c r="H2753" s="872"/>
      <c r="I2753" s="871"/>
      <c r="J2753" s="871"/>
      <c r="K2753" s="870"/>
      <c r="L2753" s="870"/>
      <c r="M2753" s="870"/>
      <c r="N2753" s="870"/>
      <c r="O2753" s="870"/>
      <c r="P2753" s="870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73"/>
      <c r="E2754" s="677"/>
      <c r="F2754" s="677"/>
      <c r="G2754" s="677"/>
      <c r="H2754" s="872"/>
      <c r="I2754" s="871"/>
      <c r="J2754" s="871"/>
      <c r="K2754" s="870"/>
      <c r="L2754" s="870"/>
      <c r="M2754" s="870"/>
      <c r="N2754" s="870"/>
      <c r="O2754" s="870"/>
      <c r="P2754" s="870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73"/>
      <c r="E2755" s="677"/>
      <c r="F2755" s="677"/>
      <c r="G2755" s="677"/>
      <c r="H2755" s="872"/>
      <c r="I2755" s="871"/>
      <c r="J2755" s="871"/>
      <c r="K2755" s="870"/>
      <c r="L2755" s="870"/>
      <c r="M2755" s="870"/>
      <c r="N2755" s="870"/>
      <c r="O2755" s="870"/>
      <c r="P2755" s="870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73"/>
      <c r="E2756" s="677"/>
      <c r="F2756" s="677"/>
      <c r="G2756" s="677"/>
      <c r="H2756" s="872"/>
      <c r="I2756" s="871"/>
      <c r="J2756" s="871"/>
      <c r="K2756" s="870"/>
      <c r="L2756" s="870"/>
      <c r="M2756" s="870"/>
      <c r="N2756" s="870"/>
      <c r="O2756" s="870"/>
      <c r="P2756" s="870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73"/>
      <c r="E2757" s="677"/>
      <c r="F2757" s="677"/>
      <c r="G2757" s="677"/>
      <c r="H2757" s="872"/>
      <c r="I2757" s="871"/>
      <c r="J2757" s="871"/>
      <c r="K2757" s="870"/>
      <c r="L2757" s="870"/>
      <c r="M2757" s="870"/>
      <c r="N2757" s="870"/>
      <c r="O2757" s="870"/>
      <c r="P2757" s="870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73"/>
      <c r="E2758" s="677"/>
      <c r="F2758" s="677"/>
      <c r="G2758" s="677"/>
      <c r="H2758" s="872"/>
      <c r="I2758" s="871"/>
      <c r="J2758" s="871"/>
      <c r="K2758" s="870"/>
      <c r="L2758" s="870"/>
      <c r="M2758" s="870"/>
      <c r="N2758" s="870"/>
      <c r="O2758" s="870"/>
      <c r="P2758" s="870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73"/>
      <c r="E2759" s="677"/>
      <c r="F2759" s="677"/>
      <c r="G2759" s="677"/>
      <c r="H2759" s="872"/>
      <c r="I2759" s="871"/>
      <c r="J2759" s="871"/>
      <c r="K2759" s="870"/>
      <c r="L2759" s="870"/>
      <c r="M2759" s="870"/>
      <c r="N2759" s="870"/>
      <c r="O2759" s="870"/>
      <c r="P2759" s="870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73"/>
      <c r="E2760" s="677"/>
      <c r="F2760" s="677"/>
      <c r="G2760" s="677"/>
      <c r="H2760" s="872"/>
      <c r="I2760" s="871"/>
      <c r="J2760" s="871"/>
      <c r="K2760" s="870"/>
      <c r="L2760" s="870"/>
      <c r="M2760" s="870"/>
      <c r="N2760" s="870"/>
      <c r="O2760" s="870"/>
      <c r="P2760" s="870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73"/>
      <c r="E2761" s="677"/>
      <c r="F2761" s="677"/>
      <c r="G2761" s="677"/>
      <c r="H2761" s="872"/>
      <c r="I2761" s="871"/>
      <c r="J2761" s="871"/>
      <c r="K2761" s="870"/>
      <c r="L2761" s="870"/>
      <c r="M2761" s="870"/>
      <c r="N2761" s="870"/>
      <c r="O2761" s="870"/>
      <c r="P2761" s="870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73"/>
      <c r="E2762" s="677"/>
      <c r="F2762" s="677"/>
      <c r="G2762" s="677"/>
      <c r="H2762" s="872"/>
      <c r="I2762" s="871"/>
      <c r="J2762" s="871"/>
      <c r="K2762" s="870"/>
      <c r="L2762" s="870"/>
      <c r="M2762" s="870"/>
      <c r="N2762" s="870"/>
      <c r="O2762" s="870"/>
      <c r="P2762" s="870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73"/>
      <c r="E2763" s="677"/>
      <c r="F2763" s="677"/>
      <c r="G2763" s="677"/>
      <c r="H2763" s="872"/>
      <c r="I2763" s="871"/>
      <c r="J2763" s="871"/>
      <c r="K2763" s="870"/>
      <c r="L2763" s="870"/>
      <c r="M2763" s="870"/>
      <c r="N2763" s="870"/>
      <c r="O2763" s="870"/>
      <c r="P2763" s="870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73"/>
      <c r="E2764" s="677"/>
      <c r="F2764" s="677"/>
      <c r="G2764" s="677"/>
      <c r="H2764" s="872"/>
      <c r="I2764" s="871"/>
      <c r="J2764" s="871"/>
      <c r="K2764" s="870"/>
      <c r="L2764" s="870"/>
      <c r="M2764" s="870"/>
      <c r="N2764" s="870"/>
      <c r="O2764" s="870"/>
      <c r="P2764" s="870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73"/>
      <c r="E2765" s="677"/>
      <c r="F2765" s="677"/>
      <c r="G2765" s="677"/>
      <c r="H2765" s="872"/>
      <c r="I2765" s="871"/>
      <c r="J2765" s="871"/>
      <c r="K2765" s="870"/>
      <c r="L2765" s="870"/>
      <c r="M2765" s="870"/>
      <c r="N2765" s="870"/>
      <c r="O2765" s="870"/>
      <c r="P2765" s="870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73"/>
      <c r="E2766" s="677"/>
      <c r="F2766" s="677"/>
      <c r="G2766" s="677"/>
      <c r="H2766" s="872"/>
      <c r="I2766" s="871"/>
      <c r="J2766" s="871"/>
      <c r="K2766" s="870"/>
      <c r="L2766" s="870"/>
      <c r="M2766" s="870"/>
      <c r="N2766" s="870"/>
      <c r="O2766" s="870"/>
      <c r="P2766" s="870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73"/>
      <c r="E2767" s="677"/>
      <c r="F2767" s="677"/>
      <c r="G2767" s="677"/>
      <c r="H2767" s="872"/>
      <c r="I2767" s="871"/>
      <c r="J2767" s="871"/>
      <c r="K2767" s="870"/>
      <c r="L2767" s="870"/>
      <c r="M2767" s="870"/>
      <c r="N2767" s="870"/>
      <c r="O2767" s="870"/>
      <c r="P2767" s="870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73"/>
      <c r="E2768" s="677"/>
      <c r="F2768" s="677"/>
      <c r="G2768" s="677"/>
      <c r="H2768" s="872"/>
      <c r="I2768" s="871"/>
      <c r="J2768" s="871"/>
      <c r="K2768" s="870"/>
      <c r="L2768" s="870"/>
      <c r="M2768" s="870"/>
      <c r="N2768" s="870"/>
      <c r="O2768" s="870"/>
      <c r="P2768" s="870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73"/>
      <c r="E2769" s="677"/>
      <c r="F2769" s="677"/>
      <c r="G2769" s="677"/>
      <c r="H2769" s="872"/>
      <c r="I2769" s="871"/>
      <c r="J2769" s="871"/>
      <c r="K2769" s="870"/>
      <c r="L2769" s="870"/>
      <c r="M2769" s="870"/>
      <c r="N2769" s="870"/>
      <c r="O2769" s="870"/>
      <c r="P2769" s="870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73"/>
      <c r="E2770" s="677"/>
      <c r="F2770" s="677"/>
      <c r="G2770" s="677"/>
      <c r="H2770" s="872"/>
      <c r="I2770" s="871"/>
      <c r="J2770" s="871"/>
      <c r="K2770" s="870"/>
      <c r="L2770" s="870"/>
      <c r="M2770" s="870"/>
      <c r="N2770" s="870"/>
      <c r="O2770" s="870"/>
      <c r="P2770" s="870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73"/>
      <c r="E2771" s="677"/>
      <c r="F2771" s="677"/>
      <c r="G2771" s="677"/>
      <c r="H2771" s="872"/>
      <c r="I2771" s="871"/>
      <c r="J2771" s="871"/>
      <c r="K2771" s="870"/>
      <c r="L2771" s="870"/>
      <c r="M2771" s="870"/>
      <c r="N2771" s="870"/>
      <c r="O2771" s="870"/>
      <c r="P2771" s="870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73"/>
      <c r="E2772" s="677"/>
      <c r="F2772" s="677"/>
      <c r="G2772" s="677"/>
      <c r="H2772" s="872"/>
      <c r="I2772" s="871"/>
      <c r="J2772" s="871"/>
      <c r="K2772" s="870"/>
      <c r="L2772" s="870"/>
      <c r="M2772" s="870"/>
      <c r="N2772" s="870"/>
      <c r="O2772" s="870"/>
      <c r="P2772" s="870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73"/>
      <c r="E2773" s="677"/>
      <c r="F2773" s="677"/>
      <c r="G2773" s="677"/>
      <c r="H2773" s="872"/>
      <c r="I2773" s="871"/>
      <c r="J2773" s="871"/>
      <c r="K2773" s="870"/>
      <c r="L2773" s="870"/>
      <c r="M2773" s="870"/>
      <c r="N2773" s="870"/>
      <c r="O2773" s="870"/>
      <c r="P2773" s="870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73"/>
      <c r="E2774" s="677"/>
      <c r="F2774" s="677"/>
      <c r="G2774" s="677"/>
      <c r="H2774" s="872"/>
      <c r="I2774" s="871"/>
      <c r="J2774" s="871"/>
      <c r="K2774" s="870"/>
      <c r="L2774" s="870"/>
      <c r="M2774" s="870"/>
      <c r="N2774" s="870"/>
      <c r="O2774" s="870"/>
      <c r="P2774" s="870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73"/>
      <c r="E2775" s="677"/>
      <c r="F2775" s="677"/>
      <c r="G2775" s="677"/>
      <c r="H2775" s="872"/>
      <c r="I2775" s="871"/>
      <c r="J2775" s="871"/>
      <c r="K2775" s="870"/>
      <c r="L2775" s="870"/>
      <c r="M2775" s="870"/>
      <c r="N2775" s="870"/>
      <c r="O2775" s="870"/>
      <c r="P2775" s="870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73"/>
      <c r="E2776" s="677"/>
      <c r="F2776" s="677"/>
      <c r="G2776" s="677"/>
      <c r="H2776" s="872"/>
      <c r="I2776" s="871"/>
      <c r="J2776" s="871"/>
      <c r="K2776" s="870"/>
      <c r="L2776" s="870"/>
      <c r="M2776" s="870"/>
      <c r="N2776" s="870"/>
      <c r="O2776" s="870"/>
      <c r="P2776" s="870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73"/>
      <c r="E2777" s="677"/>
      <c r="F2777" s="677"/>
      <c r="G2777" s="677"/>
      <c r="H2777" s="872"/>
      <c r="I2777" s="871"/>
      <c r="J2777" s="871"/>
      <c r="K2777" s="870"/>
      <c r="L2777" s="870"/>
      <c r="M2777" s="870"/>
      <c r="N2777" s="870"/>
      <c r="O2777" s="870"/>
      <c r="P2777" s="870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73"/>
      <c r="E2778" s="677"/>
      <c r="F2778" s="677"/>
      <c r="G2778" s="677"/>
      <c r="H2778" s="872"/>
      <c r="I2778" s="871"/>
      <c r="J2778" s="871"/>
      <c r="K2778" s="870"/>
      <c r="L2778" s="870"/>
      <c r="M2778" s="870"/>
      <c r="N2778" s="870"/>
      <c r="O2778" s="870"/>
      <c r="P2778" s="870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73"/>
      <c r="E2779" s="677"/>
      <c r="F2779" s="677"/>
      <c r="G2779" s="677"/>
      <c r="H2779" s="872"/>
      <c r="I2779" s="871"/>
      <c r="J2779" s="871"/>
      <c r="K2779" s="870"/>
      <c r="L2779" s="870"/>
      <c r="M2779" s="870"/>
      <c r="N2779" s="870"/>
      <c r="O2779" s="870"/>
      <c r="P2779" s="870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73"/>
      <c r="E2780" s="677"/>
      <c r="F2780" s="677"/>
      <c r="G2780" s="677"/>
      <c r="H2780" s="872"/>
      <c r="I2780" s="871"/>
      <c r="J2780" s="871"/>
      <c r="K2780" s="870"/>
      <c r="L2780" s="870"/>
      <c r="M2780" s="870"/>
      <c r="N2780" s="870"/>
      <c r="O2780" s="870"/>
      <c r="P2780" s="870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73"/>
      <c r="E2781" s="677"/>
      <c r="F2781" s="677"/>
      <c r="G2781" s="677"/>
      <c r="H2781" s="872"/>
      <c r="I2781" s="871"/>
      <c r="J2781" s="871"/>
      <c r="K2781" s="870"/>
      <c r="L2781" s="870"/>
      <c r="M2781" s="870"/>
      <c r="N2781" s="870"/>
      <c r="O2781" s="870"/>
      <c r="P2781" s="870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73"/>
      <c r="E2782" s="677"/>
      <c r="F2782" s="677"/>
      <c r="G2782" s="677"/>
      <c r="H2782" s="872"/>
      <c r="I2782" s="871"/>
      <c r="J2782" s="871"/>
      <c r="K2782" s="870"/>
      <c r="L2782" s="870"/>
      <c r="M2782" s="870"/>
      <c r="N2782" s="870"/>
      <c r="O2782" s="870"/>
      <c r="P2782" s="870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73"/>
      <c r="E2783" s="677"/>
      <c r="F2783" s="677"/>
      <c r="G2783" s="677"/>
      <c r="H2783" s="872"/>
      <c r="I2783" s="871"/>
      <c r="J2783" s="871"/>
      <c r="K2783" s="870"/>
      <c r="L2783" s="870"/>
      <c r="M2783" s="870"/>
      <c r="N2783" s="870"/>
      <c r="O2783" s="870"/>
      <c r="P2783" s="870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73"/>
      <c r="E2784" s="677"/>
      <c r="F2784" s="677"/>
      <c r="G2784" s="677"/>
      <c r="H2784" s="872"/>
      <c r="I2784" s="871"/>
      <c r="J2784" s="871"/>
      <c r="K2784" s="870"/>
      <c r="L2784" s="870"/>
      <c r="M2784" s="870"/>
      <c r="N2784" s="870"/>
      <c r="O2784" s="870"/>
      <c r="P2784" s="870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73"/>
      <c r="E2785" s="677"/>
      <c r="F2785" s="677"/>
      <c r="G2785" s="677"/>
      <c r="H2785" s="872"/>
      <c r="I2785" s="871"/>
      <c r="J2785" s="871"/>
      <c r="K2785" s="870"/>
      <c r="L2785" s="870"/>
      <c r="M2785" s="870"/>
      <c r="N2785" s="870"/>
      <c r="O2785" s="870"/>
      <c r="P2785" s="870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73"/>
      <c r="E2786" s="677"/>
      <c r="F2786" s="677"/>
      <c r="G2786" s="677"/>
      <c r="H2786" s="872"/>
      <c r="I2786" s="871"/>
      <c r="J2786" s="871"/>
      <c r="K2786" s="870"/>
      <c r="L2786" s="870"/>
      <c r="M2786" s="870"/>
      <c r="N2786" s="870"/>
      <c r="O2786" s="870"/>
      <c r="P2786" s="870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73"/>
      <c r="E2787" s="677"/>
      <c r="F2787" s="677"/>
      <c r="G2787" s="677"/>
      <c r="H2787" s="872"/>
      <c r="I2787" s="871"/>
      <c r="J2787" s="871"/>
      <c r="K2787" s="870"/>
      <c r="L2787" s="870"/>
      <c r="M2787" s="870"/>
      <c r="N2787" s="870"/>
      <c r="O2787" s="870"/>
      <c r="P2787" s="870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73"/>
      <c r="E2788" s="677"/>
      <c r="F2788" s="677"/>
      <c r="G2788" s="677"/>
      <c r="H2788" s="872"/>
      <c r="I2788" s="871"/>
      <c r="J2788" s="871"/>
      <c r="K2788" s="870"/>
      <c r="L2788" s="870"/>
      <c r="M2788" s="870"/>
      <c r="N2788" s="870"/>
      <c r="O2788" s="870"/>
      <c r="P2788" s="870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73"/>
      <c r="E2789" s="677"/>
      <c r="F2789" s="677"/>
      <c r="G2789" s="677"/>
      <c r="H2789" s="872"/>
      <c r="I2789" s="871"/>
      <c r="J2789" s="871"/>
      <c r="K2789" s="870"/>
      <c r="L2789" s="870"/>
      <c r="M2789" s="870"/>
      <c r="N2789" s="870"/>
      <c r="O2789" s="870"/>
      <c r="P2789" s="870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73"/>
      <c r="E2790" s="677"/>
      <c r="F2790" s="677"/>
      <c r="G2790" s="677"/>
      <c r="H2790" s="872"/>
      <c r="I2790" s="871"/>
      <c r="J2790" s="871"/>
      <c r="K2790" s="870"/>
      <c r="L2790" s="870"/>
      <c r="M2790" s="870"/>
      <c r="N2790" s="870"/>
      <c r="O2790" s="870"/>
      <c r="P2790" s="870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73"/>
      <c r="E2791" s="677"/>
      <c r="F2791" s="677"/>
      <c r="G2791" s="677"/>
      <c r="H2791" s="872"/>
      <c r="I2791" s="871"/>
      <c r="J2791" s="871"/>
      <c r="K2791" s="870"/>
      <c r="L2791" s="870"/>
      <c r="M2791" s="870"/>
      <c r="N2791" s="870"/>
      <c r="O2791" s="870"/>
      <c r="P2791" s="870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73"/>
      <c r="E2792" s="677"/>
      <c r="F2792" s="677"/>
      <c r="G2792" s="677"/>
      <c r="H2792" s="872"/>
      <c r="I2792" s="871"/>
      <c r="J2792" s="871"/>
      <c r="K2792" s="870"/>
      <c r="L2792" s="870"/>
      <c r="M2792" s="870"/>
      <c r="N2792" s="870"/>
      <c r="O2792" s="870"/>
      <c r="P2792" s="870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73"/>
      <c r="E2793" s="677"/>
      <c r="F2793" s="677"/>
      <c r="G2793" s="677"/>
      <c r="H2793" s="872"/>
      <c r="I2793" s="871"/>
      <c r="J2793" s="871"/>
      <c r="K2793" s="870"/>
      <c r="L2793" s="870"/>
      <c r="M2793" s="870"/>
      <c r="N2793" s="870"/>
      <c r="O2793" s="870"/>
      <c r="P2793" s="870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73"/>
      <c r="E2794" s="677"/>
      <c r="F2794" s="677"/>
      <c r="G2794" s="677"/>
      <c r="H2794" s="872"/>
      <c r="I2794" s="871"/>
      <c r="J2794" s="871"/>
      <c r="K2794" s="870"/>
      <c r="L2794" s="870"/>
      <c r="M2794" s="870"/>
      <c r="N2794" s="870"/>
      <c r="O2794" s="870"/>
      <c r="P2794" s="870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73"/>
      <c r="E2795" s="677"/>
      <c r="F2795" s="677"/>
      <c r="G2795" s="677"/>
      <c r="H2795" s="872"/>
      <c r="I2795" s="871"/>
      <c r="J2795" s="871"/>
      <c r="K2795" s="870"/>
      <c r="L2795" s="870"/>
      <c r="M2795" s="870"/>
      <c r="N2795" s="870"/>
      <c r="O2795" s="870"/>
      <c r="P2795" s="870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73"/>
      <c r="E2796" s="677"/>
      <c r="F2796" s="677"/>
      <c r="G2796" s="677"/>
      <c r="H2796" s="872"/>
      <c r="I2796" s="871"/>
      <c r="J2796" s="871"/>
      <c r="K2796" s="870"/>
      <c r="L2796" s="870"/>
      <c r="M2796" s="870"/>
      <c r="N2796" s="870"/>
      <c r="O2796" s="870"/>
      <c r="P2796" s="870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73"/>
      <c r="E2797" s="677"/>
      <c r="F2797" s="677"/>
      <c r="G2797" s="677"/>
      <c r="H2797" s="872"/>
      <c r="I2797" s="871"/>
      <c r="J2797" s="871"/>
      <c r="K2797" s="870"/>
      <c r="L2797" s="870"/>
      <c r="M2797" s="870"/>
      <c r="N2797" s="870"/>
      <c r="O2797" s="870"/>
      <c r="P2797" s="870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73"/>
      <c r="E2798" s="677"/>
      <c r="F2798" s="677"/>
      <c r="G2798" s="677"/>
      <c r="H2798" s="872"/>
      <c r="I2798" s="871"/>
      <c r="J2798" s="871"/>
      <c r="K2798" s="870"/>
      <c r="L2798" s="870"/>
      <c r="M2798" s="870"/>
      <c r="N2798" s="870"/>
      <c r="O2798" s="870"/>
      <c r="P2798" s="870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73"/>
      <c r="E2799" s="677"/>
      <c r="F2799" s="677"/>
      <c r="G2799" s="677"/>
      <c r="H2799" s="872"/>
      <c r="I2799" s="871"/>
      <c r="J2799" s="871"/>
      <c r="K2799" s="870"/>
      <c r="L2799" s="870"/>
      <c r="M2799" s="870"/>
      <c r="N2799" s="870"/>
      <c r="O2799" s="870"/>
      <c r="P2799" s="870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73"/>
      <c r="E2800" s="677"/>
      <c r="F2800" s="677"/>
      <c r="G2800" s="677"/>
      <c r="H2800" s="872"/>
      <c r="I2800" s="871"/>
      <c r="J2800" s="871"/>
      <c r="K2800" s="870"/>
      <c r="L2800" s="870"/>
      <c r="M2800" s="870"/>
      <c r="N2800" s="870"/>
      <c r="O2800" s="870"/>
      <c r="P2800" s="870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73"/>
      <c r="E2801" s="677"/>
      <c r="F2801" s="677"/>
      <c r="G2801" s="677"/>
      <c r="H2801" s="872"/>
      <c r="I2801" s="871"/>
      <c r="J2801" s="871"/>
      <c r="K2801" s="870"/>
      <c r="L2801" s="870"/>
      <c r="M2801" s="870"/>
      <c r="N2801" s="870"/>
      <c r="O2801" s="870"/>
      <c r="P2801" s="870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73"/>
      <c r="E2802" s="677"/>
      <c r="F2802" s="677"/>
      <c r="G2802" s="677"/>
      <c r="H2802" s="872"/>
      <c r="I2802" s="871"/>
      <c r="J2802" s="871"/>
      <c r="K2802" s="870"/>
      <c r="L2802" s="870"/>
      <c r="M2802" s="870"/>
      <c r="N2802" s="870"/>
      <c r="O2802" s="870"/>
      <c r="P2802" s="870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73"/>
      <c r="E2803" s="677"/>
      <c r="F2803" s="677"/>
      <c r="G2803" s="677"/>
      <c r="H2803" s="872"/>
      <c r="I2803" s="871"/>
      <c r="J2803" s="871"/>
      <c r="K2803" s="870"/>
      <c r="L2803" s="870"/>
      <c r="M2803" s="870"/>
      <c r="N2803" s="870"/>
      <c r="O2803" s="870"/>
      <c r="P2803" s="870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73"/>
      <c r="E2804" s="677"/>
      <c r="F2804" s="677"/>
      <c r="G2804" s="677"/>
      <c r="H2804" s="872"/>
      <c r="I2804" s="871"/>
      <c r="J2804" s="871"/>
      <c r="K2804" s="870"/>
      <c r="L2804" s="870"/>
      <c r="M2804" s="870"/>
      <c r="N2804" s="870"/>
      <c r="O2804" s="870"/>
      <c r="P2804" s="870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73"/>
      <c r="E2805" s="677"/>
      <c r="F2805" s="677"/>
      <c r="G2805" s="677"/>
      <c r="H2805" s="872"/>
      <c r="I2805" s="871"/>
      <c r="J2805" s="871"/>
      <c r="K2805" s="870"/>
      <c r="L2805" s="870"/>
      <c r="M2805" s="870"/>
      <c r="N2805" s="870"/>
      <c r="O2805" s="870"/>
      <c r="P2805" s="870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73"/>
      <c r="E2806" s="677"/>
      <c r="F2806" s="677"/>
      <c r="G2806" s="677"/>
      <c r="H2806" s="872"/>
      <c r="I2806" s="871"/>
      <c r="J2806" s="871"/>
      <c r="K2806" s="870"/>
      <c r="L2806" s="870"/>
      <c r="M2806" s="870"/>
      <c r="N2806" s="870"/>
      <c r="O2806" s="870"/>
      <c r="P2806" s="870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73"/>
      <c r="E2807" s="677"/>
      <c r="F2807" s="677"/>
      <c r="G2807" s="677"/>
      <c r="H2807" s="872"/>
      <c r="I2807" s="871"/>
      <c r="J2807" s="871"/>
      <c r="K2807" s="870"/>
      <c r="L2807" s="870"/>
      <c r="M2807" s="870"/>
      <c r="N2807" s="870"/>
      <c r="O2807" s="870"/>
      <c r="P2807" s="870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73"/>
      <c r="E2808" s="677"/>
      <c r="F2808" s="677"/>
      <c r="G2808" s="677"/>
      <c r="H2808" s="872"/>
      <c r="I2808" s="871"/>
      <c r="J2808" s="871"/>
      <c r="K2808" s="870"/>
      <c r="L2808" s="870"/>
      <c r="M2808" s="870"/>
      <c r="N2808" s="870"/>
      <c r="O2808" s="870"/>
      <c r="P2808" s="870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73"/>
      <c r="E2809" s="677"/>
      <c r="F2809" s="677"/>
      <c r="G2809" s="677"/>
      <c r="H2809" s="872"/>
      <c r="I2809" s="871"/>
      <c r="J2809" s="871"/>
      <c r="K2809" s="870"/>
      <c r="L2809" s="870"/>
      <c r="M2809" s="870"/>
      <c r="N2809" s="870"/>
      <c r="O2809" s="870"/>
      <c r="P2809" s="870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73"/>
      <c r="E2810" s="677"/>
      <c r="F2810" s="677"/>
      <c r="G2810" s="677"/>
      <c r="H2810" s="872"/>
      <c r="I2810" s="871"/>
      <c r="J2810" s="871"/>
      <c r="K2810" s="870"/>
      <c r="L2810" s="870"/>
      <c r="M2810" s="870"/>
      <c r="N2810" s="870"/>
      <c r="O2810" s="870"/>
      <c r="P2810" s="870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73"/>
      <c r="E2811" s="677"/>
      <c r="F2811" s="677"/>
      <c r="G2811" s="677"/>
      <c r="H2811" s="872"/>
      <c r="I2811" s="871"/>
      <c r="J2811" s="871"/>
      <c r="K2811" s="870"/>
      <c r="L2811" s="870"/>
      <c r="M2811" s="870"/>
      <c r="N2811" s="870"/>
      <c r="O2811" s="870"/>
      <c r="P2811" s="870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73"/>
      <c r="E2812" s="677"/>
      <c r="F2812" s="677"/>
      <c r="G2812" s="677"/>
      <c r="H2812" s="872"/>
      <c r="I2812" s="871"/>
      <c r="J2812" s="871"/>
      <c r="K2812" s="870"/>
      <c r="L2812" s="870"/>
      <c r="M2812" s="870"/>
      <c r="N2812" s="870"/>
      <c r="O2812" s="870"/>
      <c r="P2812" s="870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73"/>
      <c r="E2813" s="677"/>
      <c r="F2813" s="677"/>
      <c r="G2813" s="677"/>
      <c r="H2813" s="872"/>
      <c r="I2813" s="871"/>
      <c r="J2813" s="871"/>
      <c r="K2813" s="870"/>
      <c r="L2813" s="870"/>
      <c r="M2813" s="870"/>
      <c r="N2813" s="870"/>
      <c r="O2813" s="870"/>
      <c r="P2813" s="870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73"/>
      <c r="E2814" s="677"/>
      <c r="F2814" s="677"/>
      <c r="G2814" s="677"/>
      <c r="H2814" s="872"/>
      <c r="I2814" s="871"/>
      <c r="J2814" s="871"/>
      <c r="K2814" s="870"/>
      <c r="L2814" s="870"/>
      <c r="M2814" s="870"/>
      <c r="N2814" s="870"/>
      <c r="O2814" s="870"/>
      <c r="P2814" s="870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73"/>
      <c r="E2815" s="677"/>
      <c r="F2815" s="677"/>
      <c r="G2815" s="677"/>
      <c r="H2815" s="872"/>
      <c r="I2815" s="871"/>
      <c r="J2815" s="871"/>
      <c r="K2815" s="870"/>
      <c r="L2815" s="870"/>
      <c r="M2815" s="870"/>
      <c r="N2815" s="870"/>
      <c r="O2815" s="870"/>
      <c r="P2815" s="870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73"/>
      <c r="E2816" s="677"/>
      <c r="F2816" s="677"/>
      <c r="G2816" s="677"/>
      <c r="H2816" s="872"/>
      <c r="I2816" s="871"/>
      <c r="J2816" s="871"/>
      <c r="K2816" s="870"/>
      <c r="L2816" s="870"/>
      <c r="M2816" s="870"/>
      <c r="N2816" s="870"/>
      <c r="O2816" s="870"/>
      <c r="P2816" s="870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73"/>
      <c r="E2817" s="677"/>
      <c r="F2817" s="677"/>
      <c r="G2817" s="677"/>
      <c r="H2817" s="872"/>
      <c r="I2817" s="871"/>
      <c r="J2817" s="871"/>
      <c r="K2817" s="870"/>
      <c r="L2817" s="870"/>
      <c r="M2817" s="870"/>
      <c r="N2817" s="870"/>
      <c r="O2817" s="870"/>
      <c r="P2817" s="870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73"/>
      <c r="E2818" s="677"/>
      <c r="F2818" s="677"/>
      <c r="G2818" s="677"/>
      <c r="H2818" s="872"/>
      <c r="I2818" s="871"/>
      <c r="J2818" s="871"/>
      <c r="K2818" s="870"/>
      <c r="L2818" s="870"/>
      <c r="M2818" s="870"/>
      <c r="N2818" s="870"/>
      <c r="O2818" s="870"/>
      <c r="P2818" s="870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73"/>
      <c r="E2819" s="677"/>
      <c r="F2819" s="677"/>
      <c r="G2819" s="677"/>
      <c r="H2819" s="872"/>
      <c r="I2819" s="871"/>
      <c r="J2819" s="871"/>
      <c r="K2819" s="870"/>
      <c r="L2819" s="870"/>
      <c r="M2819" s="870"/>
      <c r="N2819" s="870"/>
      <c r="O2819" s="870"/>
      <c r="P2819" s="870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73"/>
      <c r="E2820" s="677"/>
      <c r="F2820" s="677"/>
      <c r="G2820" s="677"/>
      <c r="H2820" s="872"/>
      <c r="I2820" s="871"/>
      <c r="J2820" s="871"/>
      <c r="K2820" s="870"/>
      <c r="L2820" s="870"/>
      <c r="M2820" s="870"/>
      <c r="N2820" s="870"/>
      <c r="O2820" s="870"/>
      <c r="P2820" s="870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73"/>
      <c r="E2821" s="677"/>
      <c r="F2821" s="677"/>
      <c r="G2821" s="677"/>
      <c r="H2821" s="872"/>
      <c r="I2821" s="871"/>
      <c r="J2821" s="871"/>
      <c r="K2821" s="870"/>
      <c r="L2821" s="870"/>
      <c r="M2821" s="870"/>
      <c r="N2821" s="870"/>
      <c r="O2821" s="870"/>
      <c r="P2821" s="870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73"/>
      <c r="E2822" s="677"/>
      <c r="F2822" s="677"/>
      <c r="G2822" s="677"/>
      <c r="H2822" s="872"/>
      <c r="I2822" s="871"/>
      <c r="J2822" s="871"/>
      <c r="K2822" s="870"/>
      <c r="L2822" s="870"/>
      <c r="M2822" s="870"/>
      <c r="N2822" s="870"/>
      <c r="O2822" s="870"/>
      <c r="P2822" s="870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73"/>
      <c r="E2823" s="677"/>
      <c r="F2823" s="677"/>
      <c r="G2823" s="677"/>
      <c r="H2823" s="872"/>
      <c r="I2823" s="871"/>
      <c r="J2823" s="871"/>
      <c r="K2823" s="870"/>
      <c r="L2823" s="870"/>
      <c r="M2823" s="870"/>
      <c r="N2823" s="870"/>
      <c r="O2823" s="870"/>
      <c r="P2823" s="870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73"/>
      <c r="E2824" s="677"/>
      <c r="F2824" s="677"/>
      <c r="G2824" s="677"/>
      <c r="H2824" s="872"/>
      <c r="I2824" s="871"/>
      <c r="J2824" s="871"/>
      <c r="K2824" s="870"/>
      <c r="L2824" s="870"/>
      <c r="M2824" s="870"/>
      <c r="N2824" s="870"/>
      <c r="O2824" s="870"/>
      <c r="P2824" s="870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73"/>
      <c r="E2825" s="677"/>
      <c r="F2825" s="677"/>
      <c r="G2825" s="677"/>
      <c r="H2825" s="872"/>
      <c r="I2825" s="871"/>
      <c r="J2825" s="871"/>
      <c r="K2825" s="870"/>
      <c r="L2825" s="870"/>
      <c r="M2825" s="870"/>
      <c r="N2825" s="870"/>
      <c r="O2825" s="870"/>
      <c r="P2825" s="870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73"/>
      <c r="E2826" s="677"/>
      <c r="F2826" s="677"/>
      <c r="G2826" s="677"/>
      <c r="H2826" s="872"/>
      <c r="I2826" s="871"/>
      <c r="J2826" s="871"/>
      <c r="K2826" s="870"/>
      <c r="L2826" s="870"/>
      <c r="M2826" s="870"/>
      <c r="N2826" s="870"/>
      <c r="O2826" s="870"/>
      <c r="P2826" s="870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73"/>
      <c r="E2827" s="677"/>
      <c r="F2827" s="677"/>
      <c r="G2827" s="677"/>
      <c r="H2827" s="872"/>
      <c r="I2827" s="871"/>
      <c r="J2827" s="871"/>
      <c r="K2827" s="870"/>
      <c r="L2827" s="870"/>
      <c r="M2827" s="870"/>
      <c r="N2827" s="870"/>
      <c r="O2827" s="870"/>
      <c r="P2827" s="870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73"/>
      <c r="E2828" s="677"/>
      <c r="F2828" s="677"/>
      <c r="G2828" s="677"/>
      <c r="H2828" s="872"/>
      <c r="I2828" s="871"/>
      <c r="J2828" s="871"/>
      <c r="K2828" s="870"/>
      <c r="L2828" s="870"/>
      <c r="M2828" s="870"/>
      <c r="N2828" s="870"/>
      <c r="O2828" s="870"/>
      <c r="P2828" s="870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C60F7-7D9A-43D0-BFD7-E00F95DFC176}">
  <sheetPr>
    <outlinePr summaryBelow="0" summaryRight="0"/>
    <pageSetUpPr fitToPage="1"/>
  </sheetPr>
  <dimension ref="A1:Z1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28515625" bestFit="1" customWidth="1"/>
    <col min="10" max="10" width="17.5703125" bestFit="1" customWidth="1"/>
    <col min="11" max="11" width="15.85546875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342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6792414</v>
      </c>
      <c r="M8" s="21">
        <f ca="1">M9+M10</f>
        <v>6491167.0899999999</v>
      </c>
      <c r="N8" s="21">
        <f ca="1">N9+N10</f>
        <v>6491167.0899999999</v>
      </c>
      <c r="O8" s="21">
        <f t="shared" ref="O8:O16" ca="1" si="0">IF(L8&gt;0,N8*100/L8,0)</f>
        <v>95.564950693523684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6792414</v>
      </c>
      <c r="M10" s="29">
        <f t="shared" ca="1" si="2"/>
        <v>6491167.0899999999</v>
      </c>
      <c r="N10" s="29">
        <f t="shared" ca="1" si="2"/>
        <v>6491167.0899999999</v>
      </c>
      <c r="O10" s="29">
        <f t="shared" ca="1" si="0"/>
        <v>95.564950693523684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3518314</v>
      </c>
      <c r="M11" s="497">
        <f ca="1">M12+M13</f>
        <v>3688110.0300000003</v>
      </c>
      <c r="N11" s="497">
        <f ca="1">N12+N13</f>
        <v>3688110.0300000003</v>
      </c>
      <c r="O11" s="497">
        <f t="shared" ca="1" si="0"/>
        <v>104.82606242649177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3518314</v>
      </c>
      <c r="M13" s="92">
        <f t="shared" ca="1" si="3"/>
        <v>3688110.0300000003</v>
      </c>
      <c r="N13" s="92">
        <f t="shared" ca="1" si="3"/>
        <v>3688110.0300000003</v>
      </c>
      <c r="O13" s="92">
        <f t="shared" ca="1" si="0"/>
        <v>104.82606242649177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3274100</v>
      </c>
      <c r="M14" s="497">
        <f ca="1">M15+M16</f>
        <v>2803057.06</v>
      </c>
      <c r="N14" s="497">
        <f ca="1">N15+N16</f>
        <v>2803057.06</v>
      </c>
      <c r="O14" s="497">
        <f t="shared" ca="1" si="0"/>
        <v>85.613055801594328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3274100</v>
      </c>
      <c r="M16" s="51">
        <f t="shared" ca="1" si="4"/>
        <v>2803057.06</v>
      </c>
      <c r="N16" s="51">
        <f t="shared" ca="1" si="4"/>
        <v>2803057.06</v>
      </c>
      <c r="O16" s="51">
        <f t="shared" ca="1" si="0"/>
        <v>85.613055801594328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6154866</v>
      </c>
      <c r="M18" s="21">
        <f ca="1">M19+M20</f>
        <v>5904334.0899999999</v>
      </c>
      <c r="N18" s="21">
        <f ca="1">N19+N20</f>
        <v>5904334.0899999999</v>
      </c>
      <c r="O18" s="21">
        <f t="shared" ref="O18:O26" ca="1" si="5">IF(L18&gt;0,N18*100/L18,0)</f>
        <v>95.929531040968229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6154866</v>
      </c>
      <c r="M20" s="29">
        <f t="shared" ca="1" si="7"/>
        <v>5904334.0899999999</v>
      </c>
      <c r="N20" s="29">
        <f t="shared" ca="1" si="7"/>
        <v>5904334.0899999999</v>
      </c>
      <c r="O20" s="29">
        <f t="shared" ca="1" si="5"/>
        <v>95.929531040968229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2880766</v>
      </c>
      <c r="M21" s="497">
        <f ca="1">M22+M23</f>
        <v>3101277.0300000003</v>
      </c>
      <c r="N21" s="497">
        <f ca="1">N22+N23</f>
        <v>3101277.0300000003</v>
      </c>
      <c r="O21" s="497">
        <f t="shared" ca="1" si="5"/>
        <v>107.65459707591661</v>
      </c>
      <c r="P21" s="497">
        <f t="shared" ca="1" si="6"/>
        <v>99.999999999999986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2880766</v>
      </c>
      <c r="M23" s="92">
        <f t="shared" ca="1" si="8"/>
        <v>3101277.0300000003</v>
      </c>
      <c r="N23" s="92">
        <f t="shared" ca="1" si="8"/>
        <v>3101277.0300000003</v>
      </c>
      <c r="O23" s="92">
        <f t="shared" ca="1" si="5"/>
        <v>107.65459707591661</v>
      </c>
      <c r="P23" s="92">
        <f t="shared" ca="1" si="6"/>
        <v>99.999999999999986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3274100</v>
      </c>
      <c r="M24" s="497">
        <f ca="1">M25+M26</f>
        <v>2803057.06</v>
      </c>
      <c r="N24" s="497">
        <f ca="1">N25+N26</f>
        <v>2803057.06</v>
      </c>
      <c r="O24" s="497">
        <f t="shared" ca="1" si="5"/>
        <v>85.613055801594328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3274100</v>
      </c>
      <c r="M26" s="51">
        <f t="shared" ca="1" si="9"/>
        <v>2803057.06</v>
      </c>
      <c r="N26" s="51">
        <f t="shared" ca="1" si="9"/>
        <v>2803057.06</v>
      </c>
      <c r="O26" s="51">
        <f t="shared" ca="1" si="5"/>
        <v>85.613055801594328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637548</v>
      </c>
      <c r="M28" s="21">
        <f ca="1">M29+M30</f>
        <v>586833</v>
      </c>
      <c r="N28" s="21">
        <f>N29+N30</f>
        <v>586833</v>
      </c>
      <c r="O28" s="21">
        <f t="shared" ref="O28:O37" ca="1" si="10">IF(L28&gt;0,N28*100/L28,0)</f>
        <v>92.045304824107362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637548</v>
      </c>
      <c r="M30" s="29">
        <f t="shared" ca="1" si="12"/>
        <v>586833</v>
      </c>
      <c r="N30" s="29">
        <f t="shared" si="12"/>
        <v>586833</v>
      </c>
      <c r="O30" s="29">
        <f t="shared" ca="1" si="10"/>
        <v>92.045304824107362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637548</v>
      </c>
      <c r="M31" s="497">
        <f ca="1">M32+M33</f>
        <v>586833</v>
      </c>
      <c r="N31" s="497">
        <f>N32+N33</f>
        <v>586833</v>
      </c>
      <c r="O31" s="497">
        <f t="shared" ca="1" si="10"/>
        <v>92.045304824107362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637548</v>
      </c>
      <c r="M33" s="92">
        <f t="shared" ca="1" si="13"/>
        <v>586833</v>
      </c>
      <c r="N33" s="92">
        <f t="shared" si="13"/>
        <v>586833</v>
      </c>
      <c r="O33" s="92">
        <f t="shared" ca="1" si="10"/>
        <v>92.045304824107362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6154866</v>
      </c>
      <c r="M37" s="58">
        <f ca="1">M41+M53+M66+M88+M119+M132+M149+M165+M181+M261+M277+M298+M315+M328+M345+M389+M402</f>
        <v>5904334.0899999999</v>
      </c>
      <c r="N37" s="58">
        <f ca="1">N41+N53+N66+N88+N119+N132+N149+N165+N181+N261+N277+N298+N315+N328+N345+N389+N402</f>
        <v>5904334.0899999999</v>
      </c>
      <c r="O37" s="58">
        <f t="shared" ca="1" si="10"/>
        <v>95.929531040968229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309946</v>
      </c>
      <c r="M41" s="84">
        <f ca="1">M42+M43</f>
        <v>342977.08</v>
      </c>
      <c r="N41" s="84">
        <f ca="1">N42+N43</f>
        <v>342977.08</v>
      </c>
      <c r="O41" s="84">
        <f t="shared" ref="O41:O49" ca="1" si="15">IF(L41&gt;0,N41*100/L41,0)</f>
        <v>110.65704348499416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309946</v>
      </c>
      <c r="M43" s="91">
        <f t="shared" ca="1" si="17"/>
        <v>342977.08</v>
      </c>
      <c r="N43" s="91">
        <f t="shared" ca="1" si="17"/>
        <v>342977.08</v>
      </c>
      <c r="O43" s="91">
        <f t="shared" ca="1" si="15"/>
        <v>110.65704348499416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309946</v>
      </c>
      <c r="M44" s="497">
        <f ca="1">M45+M46</f>
        <v>342977.08</v>
      </c>
      <c r="N44" s="497">
        <f ca="1">N45+N46</f>
        <v>342977.08</v>
      </c>
      <c r="O44" s="497">
        <f t="shared" ca="1" si="15"/>
        <v>110.65704348499416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IFERROR(__xludf.DUMMYFUNCTION("IMPORTRANGE(""https://docs.google.com/spreadsheets/d/1MeEWN-I1oV_STSDYn1IFDPWt_1FKiwhDph83XaGc0o0/edit?usp=sharing"",""งบพรบ!M57"")"),309946)</f>
        <v>309946</v>
      </c>
      <c r="M46" s="92">
        <f ca="1">IFERROR(__xludf.DUMMYFUNCTION("IMPORTRANGE(""https://docs.google.com/spreadsheets/d/1MeEWN-I1oV_STSDYn1IFDPWt_1FKiwhDph83XaGc0o0/edit?usp=sharing"",""งบพรบ!R57"")"),342977.08)</f>
        <v>342977.08</v>
      </c>
      <c r="N46" s="92">
        <f ca="1">IFERROR(__xludf.DUMMYFUNCTION("IMPORTRANGE(""https://docs.google.com/spreadsheets/d/1MeEWN-I1oV_STSDYn1IFDPWt_1FKiwhDph83XaGc0o0/edit?usp=sharing"",""งบพรบ!T57"")"),342977.08)</f>
        <v>342977.08</v>
      </c>
      <c r="O46" s="92">
        <f t="shared" ca="1" si="15"/>
        <v>110.65704348499416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IFERROR(__xludf.DUMMYFUNCTION("IMPORTRANGE(""https://docs.google.com/spreadsheets/d/1MeEWN-I1oV_STSDYn1IFDPWt_1FKiwhDph83XaGc0o0/edit?usp=sharing"",""งบพรบ!P57"")"),0)</f>
        <v>0</v>
      </c>
      <c r="M49" s="51">
        <f ca="1">IFERROR(__xludf.DUMMYFUNCTION("IMPORTRANGE(""https://docs.google.com/spreadsheets/d/1MeEWN-I1oV_STSDYn1IFDPWt_1FKiwhDph83XaGc0o0/edit?usp=sharing"",""งบพรบ!S57"")"),0)</f>
        <v>0</v>
      </c>
      <c r="N49" s="51">
        <f ca="1">IFERROR(__xludf.DUMMYFUNCTION("IMPORTRANGE(""https://docs.google.com/spreadsheets/d/1MeEWN-I1oV_STSDYn1IFDPWt_1FKiwhDph83XaGc0o0/edit?usp=sharing"",""งบพรบ!U57"")"),0)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3823100</v>
      </c>
      <c r="M53" s="115">
        <f ca="1">M54+M55</f>
        <v>3469772.01</v>
      </c>
      <c r="N53" s="115">
        <f ca="1">N54+N55</f>
        <v>3469772.01</v>
      </c>
      <c r="O53" s="115">
        <f t="shared" ref="O53:O61" ca="1" si="18">IF(L53&gt;0,N53*100/L53,0)</f>
        <v>90.758076168554311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3823100</v>
      </c>
      <c r="M55" s="122">
        <f t="shared" ca="1" si="20"/>
        <v>3469772.01</v>
      </c>
      <c r="N55" s="122">
        <f t="shared" ca="1" si="20"/>
        <v>3469772.01</v>
      </c>
      <c r="O55" s="122">
        <f t="shared" ca="1" si="18"/>
        <v>90.758076168554311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623100</v>
      </c>
      <c r="M56" s="497">
        <f ca="1">M57+M58</f>
        <v>740814.95</v>
      </c>
      <c r="N56" s="497">
        <f ca="1">N57+N58</f>
        <v>740814.95</v>
      </c>
      <c r="O56" s="497">
        <f t="shared" ca="1" si="18"/>
        <v>118.89182314235275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IFERROR(__xludf.DUMMYFUNCTION("IMPORTRANGE(""https://docs.google.com/spreadsheets/d/1MeEWN-I1oV_STSDYn1IFDPWt_1FKiwhDph83XaGc0o0/edit?usp=sharing"",""งบพรบ!W57"")"),623100)</f>
        <v>623100</v>
      </c>
      <c r="M58" s="92">
        <f ca="1">IFERROR(__xludf.DUMMYFUNCTION("IMPORTRANGE(""https://docs.google.com/spreadsheets/d/1MeEWN-I1oV_STSDYn1IFDPWt_1FKiwhDph83XaGc0o0/edit?usp=sharing"",""งบพรบ!AB57"")"),740814.95)</f>
        <v>740814.95</v>
      </c>
      <c r="N58" s="92">
        <f ca="1">IFERROR(__xludf.DUMMYFUNCTION("IMPORTRANGE(""https://docs.google.com/spreadsheets/d/1MeEWN-I1oV_STSDYn1IFDPWt_1FKiwhDph83XaGc0o0/edit?usp=sharing"",""งบพรบ!AD57"")"),740814.95)</f>
        <v>740814.95</v>
      </c>
      <c r="O58" s="92">
        <f t="shared" ca="1" si="18"/>
        <v>118.89182314235275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3200000</v>
      </c>
      <c r="M59" s="497">
        <f ca="1">M60+M61</f>
        <v>2728957.06</v>
      </c>
      <c r="N59" s="497">
        <f ca="1">N60+N61</f>
        <v>2728957.06</v>
      </c>
      <c r="O59" s="497">
        <f t="shared" ca="1" si="18"/>
        <v>85.279908125000006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IFERROR(__xludf.DUMMYFUNCTION("IMPORTRANGE(""https://docs.google.com/spreadsheets/d/1MeEWN-I1oV_STSDYn1IFDPWt_1FKiwhDph83XaGc0o0/edit?usp=sharing"",""งบพรบ!Z57"")"),3200000)</f>
        <v>3200000</v>
      </c>
      <c r="M61" s="51">
        <f ca="1">IFERROR(__xludf.DUMMYFUNCTION("IMPORTRANGE(""https://docs.google.com/spreadsheets/d/1MeEWN-I1oV_STSDYn1IFDPWt_1FKiwhDph83XaGc0o0/edit?usp=sharing"",""งบพรบ!AC57"")"),2728957.06)</f>
        <v>2728957.06</v>
      </c>
      <c r="N61" s="51">
        <f ca="1">IFERROR(__xludf.DUMMYFUNCTION("IMPORTRANGE(""https://docs.google.com/spreadsheets/d/1MeEWN-I1oV_STSDYn1IFDPWt_1FKiwhDph83XaGc0o0/edit?usp=sharing"",""งบพรบ!AE57"")"),2728957.06)</f>
        <v>2728957.06</v>
      </c>
      <c r="O61" s="51">
        <f t="shared" ca="1" si="18"/>
        <v>85.279908125000006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2</v>
      </c>
      <c r="J64" s="143">
        <f>J76</f>
        <v>2</v>
      </c>
      <c r="K64" s="144">
        <f ca="1">IF(I64&gt;0,J64*100/I64,0)</f>
        <v>100</v>
      </c>
      <c r="L64" s="145"/>
      <c r="M64" s="145"/>
      <c r="N64" s="145"/>
      <c r="O64" s="145"/>
      <c r="P64" s="145"/>
    </row>
    <row r="65" spans="1:26" ht="19.5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64</v>
      </c>
      <c r="J65" s="143">
        <f>J77</f>
        <v>64</v>
      </c>
      <c r="K65" s="144">
        <f ca="1">IF(I65&gt;0,J65*100/I65,0)</f>
        <v>100</v>
      </c>
      <c r="L65" s="145"/>
      <c r="M65" s="145"/>
      <c r="N65" s="145"/>
      <c r="O65" s="145"/>
      <c r="P65" s="145"/>
    </row>
    <row r="66" spans="1:26" ht="19.5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1150600</v>
      </c>
      <c r="M66" s="154">
        <f ca="1">M67+M68</f>
        <v>1161210</v>
      </c>
      <c r="N66" s="154">
        <f ca="1">N67+N68</f>
        <v>1161210</v>
      </c>
      <c r="O66" s="154">
        <f t="shared" ref="O66:O74" ca="1" si="21">IF(L66&gt;0,N66*100/L66,0)</f>
        <v>100.92212758560751</v>
      </c>
      <c r="P66" s="154">
        <f t="shared" ref="P66:P74" ca="1" si="22">IF(M66&gt;0,N66*100/M66,0)</f>
        <v>100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1150600</v>
      </c>
      <c r="M68" s="92">
        <f t="shared" ca="1" si="23"/>
        <v>1161210</v>
      </c>
      <c r="N68" s="92">
        <f t="shared" ca="1" si="23"/>
        <v>1161210</v>
      </c>
      <c r="O68" s="92">
        <f t="shared" ca="1" si="21"/>
        <v>100.92212758560751</v>
      </c>
      <c r="P68" s="92">
        <f t="shared" ca="1" si="22"/>
        <v>100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1150600</v>
      </c>
      <c r="M69" s="497">
        <f ca="1">M70+M71</f>
        <v>1161210</v>
      </c>
      <c r="N69" s="497">
        <f ca="1">N70+N71</f>
        <v>1161210</v>
      </c>
      <c r="O69" s="497">
        <f t="shared" ca="1" si="21"/>
        <v>100.92212758560751</v>
      </c>
      <c r="P69" s="497">
        <f t="shared" ca="1" si="22"/>
        <v>100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IFERROR(__xludf.DUMMYFUNCTION("IMPORTRANGE(""https://docs.google.com/spreadsheets/d/1MeEWN-I1oV_STSDYn1IFDPWt_1FKiwhDph83XaGc0o0/edit?usp=sharing"",""งบพรบ!AG57"")"),1150600)</f>
        <v>1150600</v>
      </c>
      <c r="M71" s="92">
        <f ca="1">IFERROR(__xludf.DUMMYFUNCTION("IMPORTRANGE(""https://docs.google.com/spreadsheets/d/1MeEWN-I1oV_STSDYn1IFDPWt_1FKiwhDph83XaGc0o0/edit?usp=sharing"",""งบพรบ!AL57"")"),1161210)</f>
        <v>1161210</v>
      </c>
      <c r="N71" s="92">
        <f ca="1">IFERROR(__xludf.DUMMYFUNCTION("IMPORTRANGE(""https://docs.google.com/spreadsheets/d/1MeEWN-I1oV_STSDYn1IFDPWt_1FKiwhDph83XaGc0o0/edit?usp=sharing"",""งบพรบ!AN57"")"),1161210)</f>
        <v>1161210</v>
      </c>
      <c r="O71" s="92">
        <f t="shared" ca="1" si="21"/>
        <v>100.92212758560751</v>
      </c>
      <c r="P71" s="92">
        <f t="shared" ca="1" si="22"/>
        <v>100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IFERROR(__xludf.DUMMYFUNCTION("IMPORTRANGE(""https://docs.google.com/spreadsheets/d/1MeEWN-I1oV_STSDYn1IFDPWt_1FKiwhDph83XaGc0o0/edit?usp=sharing"",""งบพรบ!AJ57"")"),0)</f>
        <v>0</v>
      </c>
      <c r="M74" s="92">
        <f ca="1">IFERROR(__xludf.DUMMYFUNCTION("IMPORTRANGE(""https://docs.google.com/spreadsheets/d/1MeEWN-I1oV_STSDYn1IFDPWt_1FKiwhDph83XaGc0o0/edit?usp=sharing"",""งบพรบ!AM57"")"),0)</f>
        <v>0</v>
      </c>
      <c r="N74" s="92">
        <f ca="1">IFERROR(__xludf.DUMMYFUNCTION("IMPORTRANGE(""https://docs.google.com/spreadsheets/d/1MeEWN-I1oV_STSDYn1IFDPWt_1FKiwhDph83XaGc0o0/edit?usp=sharing"",""งบพรบ!AO57"")"),0)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2</v>
      </c>
      <c r="J76" s="269">
        <f>J78+J80+J82</f>
        <v>2</v>
      </c>
      <c r="K76" s="162">
        <f t="shared" ref="K76:K84" ca="1" si="24">IF(I76&gt;0,J76*100/I76,0)</f>
        <v>100</v>
      </c>
      <c r="L76" s="162"/>
      <c r="M76" s="162"/>
      <c r="N76" s="162"/>
      <c r="O76" s="162"/>
      <c r="P76" s="162"/>
    </row>
    <row r="77" spans="1:26" ht="19.5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64</v>
      </c>
      <c r="J77" s="269">
        <f>J79+J81+J83</f>
        <v>64</v>
      </c>
      <c r="K77" s="162">
        <f t="shared" ca="1" si="24"/>
        <v>100</v>
      </c>
      <c r="L77" s="162"/>
      <c r="M77" s="162"/>
      <c r="N77" s="162"/>
      <c r="O77" s="162"/>
      <c r="P77" s="162"/>
    </row>
    <row r="78" spans="1:26" ht="18.75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IFERROR(__xludf.DUMMYFUNCTION("IMPORTRANGE(""https://docs.google.com/spreadsheets/d/1QqKyyYR6Q21VydFLVH3TRQUabQu_ym0Zz7PgGX0-kHA/edit?usp=sharing"",""แผน!H57"")"),1)</f>
        <v>1</v>
      </c>
      <c r="J78" s="214">
        <v>1</v>
      </c>
      <c r="K78" s="162">
        <f t="shared" ca="1" si="24"/>
        <v>100</v>
      </c>
      <c r="L78" s="162"/>
      <c r="M78" s="162"/>
      <c r="N78" s="162"/>
      <c r="O78" s="162"/>
      <c r="P78" s="162"/>
    </row>
    <row r="79" spans="1:26" ht="18.75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IFERROR(__xludf.DUMMYFUNCTION("IMPORTRANGE(""https://docs.google.com/spreadsheets/d/1QqKyyYR6Q21VydFLVH3TRQUabQu_ym0Zz7PgGX0-kHA/edit?usp=sharing"",""แผน!I57"")"),34)</f>
        <v>34</v>
      </c>
      <c r="J79" s="214">
        <v>34</v>
      </c>
      <c r="K79" s="162">
        <f t="shared" ca="1" si="24"/>
        <v>100</v>
      </c>
      <c r="L79" s="162"/>
      <c r="M79" s="162"/>
      <c r="N79" s="162"/>
      <c r="O79" s="162"/>
      <c r="P79" s="162"/>
    </row>
    <row r="80" spans="1:26" ht="18.75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IFERROR(__xludf.DUMMYFUNCTION("IMPORTRANGE(""https://docs.google.com/spreadsheets/d/1QqKyyYR6Q21VydFLVH3TRQUabQu_ym0Zz7PgGX0-kHA/edit?usp=sharing"",""แผน!F57"")"),0)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IFERROR(__xludf.DUMMYFUNCTION("IMPORTRANGE(""https://docs.google.com/spreadsheets/d/1QqKyyYR6Q21VydFLVH3TRQUabQu_ym0Zz7PgGX0-kHA/edit?usp=sharing"",""แผน!G57"")"),0)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IFERROR(__xludf.DUMMYFUNCTION("IMPORTRANGE(""https://docs.google.com/spreadsheets/d/1QqKyyYR6Q21VydFLVH3TRQUabQu_ym0Zz7PgGX0-kHA/edit?usp=sharing"",""แผน!D57"")"),1)</f>
        <v>1</v>
      </c>
      <c r="J82" s="214">
        <v>1</v>
      </c>
      <c r="K82" s="162">
        <f t="shared" ca="1" si="24"/>
        <v>100</v>
      </c>
      <c r="L82" s="162"/>
      <c r="M82" s="162"/>
      <c r="N82" s="162"/>
      <c r="O82" s="162"/>
      <c r="P82" s="162"/>
    </row>
    <row r="83" spans="1:26" ht="18.75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IFERROR(__xludf.DUMMYFUNCTION("IMPORTRANGE(""https://docs.google.com/spreadsheets/d/1QqKyyYR6Q21VydFLVH3TRQUabQu_ym0Zz7PgGX0-kHA/edit?usp=sharing"",""แผน!E57"")"),30)</f>
        <v>30</v>
      </c>
      <c r="J83" s="214">
        <v>30</v>
      </c>
      <c r="K83" s="162">
        <f t="shared" ca="1" si="24"/>
        <v>100</v>
      </c>
      <c r="L83" s="162"/>
      <c r="M83" s="162"/>
      <c r="N83" s="162"/>
      <c r="O83" s="162"/>
      <c r="P83" s="162"/>
    </row>
    <row r="84" spans="1:26" ht="18.75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IFERROR(__xludf.DUMMYFUNCTION("IMPORTRANGE(""https://docs.google.com/spreadsheets/d/1QqKyyYR6Q21VydFLVH3TRQUabQu_ym0Zz7PgGX0-kHA/edit?usp=sharing"",""แผน!J57"")"),2)</f>
        <v>2</v>
      </c>
      <c r="J84" s="214">
        <v>2</v>
      </c>
      <c r="K84" s="162">
        <f t="shared" ca="1" si="24"/>
        <v>100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90</v>
      </c>
      <c r="J86" s="143">
        <f>J98</f>
        <v>90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30</v>
      </c>
      <c r="J87" s="143">
        <f>J99</f>
        <v>30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136220</v>
      </c>
      <c r="M88" s="154">
        <f ca="1">M89+M90</f>
        <v>136220</v>
      </c>
      <c r="N88" s="154">
        <f ca="1">N89+N90</f>
        <v>136220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136220</v>
      </c>
      <c r="M90" s="92">
        <f t="shared" ca="1" si="27"/>
        <v>136220</v>
      </c>
      <c r="N90" s="92">
        <f t="shared" ca="1" si="27"/>
        <v>136220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136220</v>
      </c>
      <c r="M91" s="497">
        <f ca="1">M92+M93</f>
        <v>136220</v>
      </c>
      <c r="N91" s="497">
        <f ca="1">N92+N93</f>
        <v>136220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IFERROR(__xludf.DUMMYFUNCTION("IMPORTRANGE(""https://docs.google.com/spreadsheets/d/1MeEWN-I1oV_STSDYn1IFDPWt_1FKiwhDph83XaGc0o0/edit?usp=sharing"",""งบพรบ!AQ57"")"),136220)</f>
        <v>136220</v>
      </c>
      <c r="M93" s="92">
        <f ca="1">IFERROR(__xludf.DUMMYFUNCTION("IMPORTRANGE(""https://docs.google.com/spreadsheets/d/1MeEWN-I1oV_STSDYn1IFDPWt_1FKiwhDph83XaGc0o0/edit?usp=sharing"",""งบพรบ!AV57"")"),136220)</f>
        <v>136220</v>
      </c>
      <c r="N93" s="92">
        <f ca="1">IFERROR(__xludf.DUMMYFUNCTION("IMPORTRANGE(""https://docs.google.com/spreadsheets/d/1MeEWN-I1oV_STSDYn1IFDPWt_1FKiwhDph83XaGc0o0/edit?usp=sharing"",""งบพรบ!AX57"")"),136220)</f>
        <v>136220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IFERROR(__xludf.DUMMYFUNCTION("IMPORTRANGE(""https://docs.google.com/spreadsheets/d/1MeEWN-I1oV_STSDYn1IFDPWt_1FKiwhDph83XaGc0o0/edit?usp=sharing"",""งบพรบ!AT57"")"),0)</f>
        <v>0</v>
      </c>
      <c r="M96" s="92">
        <f ca="1">IFERROR(__xludf.DUMMYFUNCTION("IMPORTRANGE(""https://docs.google.com/spreadsheets/d/1MeEWN-I1oV_STSDYn1IFDPWt_1FKiwhDph83XaGc0o0/edit?usp=sharing"",""งบพรบ!AW57"")"),0)</f>
        <v>0</v>
      </c>
      <c r="N96" s="92">
        <f ca="1">IFERROR(__xludf.DUMMYFUNCTION("IMPORTRANGE(""https://docs.google.com/spreadsheets/d/1MeEWN-I1oV_STSDYn1IFDPWt_1FKiwhDph83XaGc0o0/edit?usp=sharing"",""งบพรบ!AY57"")"),0)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IFERROR(__xludf.DUMMYFUNCTION("IMPORTRANGE(""https://docs.google.com/spreadsheets/d/1QqKyyYR6Q21VydFLVH3TRQUabQu_ym0Zz7PgGX0-kHA/edit?usp=sharing"",""แผน!K57"")"),90)</f>
        <v>90</v>
      </c>
      <c r="J98" s="269">
        <f>J102</f>
        <v>90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IFERROR(__xludf.DUMMYFUNCTION("IMPORTRANGE(""https://docs.google.com/spreadsheets/d/1QqKyyYR6Q21VydFLVH3TRQUabQu_ym0Zz7PgGX0-kHA/edit?usp=sharing"",""แผน!L57"")"),30)</f>
        <v>30</v>
      </c>
      <c r="J99" s="269">
        <f>J104</f>
        <v>30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IFERROR(__xludf.DUMMYFUNCTION("IMPORTRANGE(""https://docs.google.com/spreadsheets/d/1QqKyyYR6Q21VydFLVH3TRQUabQu_ym0Zz7PgGX0-kHA/edit?usp=sharing"",""แผน!M57"")"),2)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IFERROR(__xludf.DUMMYFUNCTION("IMPORTRANGE(""https://docs.google.com/spreadsheets/d/1QqKyyYR6Q21VydFLVH3TRQUabQu_ym0Zz7PgGX0-kHA/edit?usp=sharing"",""แผน!N57"")"),90)</f>
        <v>90</v>
      </c>
      <c r="J102" s="214">
        <v>90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IFERROR(__xludf.DUMMYFUNCTION("IMPORTRANGE(""https://docs.google.com/spreadsheets/d/1QqKyyYR6Q21VydFLVH3TRQUabQu_ym0Zz7PgGX0-kHA/edit?usp=sharing"",""แผน!O57"")"),30)</f>
        <v>30</v>
      </c>
      <c r="J103" s="214">
        <v>30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IFERROR(__xludf.DUMMYFUNCTION("IMPORTRANGE(""https://docs.google.com/spreadsheets/d/1QqKyyYR6Q21VydFLVH3TRQUabQu_ym0Zz7PgGX0-kHA/edit?usp=sharing"",""แผน!O57"")"),30)</f>
        <v>30</v>
      </c>
      <c r="J104" s="214">
        <v>30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IFERROR(__xludf.DUMMYFUNCTION("IMPORTRANGE(""https://docs.google.com/spreadsheets/d/1QqKyyYR6Q21VydFLVH3TRQUabQu_ym0Zz7PgGX0-kHA/edit?usp=sharing"",""แผน!P57"")"),1)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IFERROR(__xludf.DUMMYFUNCTION("IMPORTRANGE(""https://docs.google.com/spreadsheets/d/1QqKyyYR6Q21VydFLVH3TRQUabQu_ym0Zz7PgGX0-kHA/edit?usp=sharing"",""แผน!P57"")"),1)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IFERROR(__xludf.DUMMYFUNCTION("IMPORTRANGE(""https://docs.google.com/spreadsheets/d/1QqKyyYR6Q21VydFLVH3TRQUabQu_ym0Zz7PgGX0-kHA/edit?usp=sharing"",""แผน!Q57"")"),1)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IFERROR(__xludf.DUMMYFUNCTION("IMPORTRANGE(""https://docs.google.com/spreadsheets/d/1QqKyyYR6Q21VydFLVH3TRQUabQu_ym0Zz7PgGX0-kHA/edit?usp=sharing"",""แผน!Q57"")"),1)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30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IFERROR(__xludf.DUMMYFUNCTION("IMPORTRANGE(""https://docs.google.com/spreadsheets/d/1QqKyyYR6Q21VydFLVH3TRQUabQu_ym0Zz7PgGX0-kHA/edit?usp=sharing"",""แผน!R57"")"),30)</f>
        <v>30</v>
      </c>
      <c r="J113" s="214">
        <v>30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IFERROR(__xludf.DUMMYFUNCTION("IMPORTRANGE(""https://docs.google.com/spreadsheets/d/1QqKyyYR6Q21VydFLVH3TRQUabQu_ym0Zz7PgGX0-kHA/edit?usp=sharing"",""แผน!R57"")"),30)</f>
        <v>30</v>
      </c>
      <c r="J114" s="214">
        <v>30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IFERROR(__xludf.DUMMYFUNCTION("IMPORTRANGE(""https://docs.google.com/spreadsheets/d/1QqKyyYR6Q21VydFLVH3TRQUabQu_ym0Zz7PgGX0-kHA/edit?usp=sharing"",""แผน!S57"")"),1)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IFERROR(__xludf.DUMMYFUNCTION("IMPORTRANGE(""https://docs.google.com/spreadsheets/d/1QqKyyYR6Q21VydFLVH3TRQUabQu_ym0Zz7PgGX0-kHA/edit?usp=sharing"",""แผน!T57"")"),1)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IFERROR(__xludf.DUMMYFUNCTION("IMPORTRANGE(""https://docs.google.com/spreadsheets/d/1MeEWN-I1oV_STSDYn1IFDPWt_1FKiwhDph83XaGc0o0/edit?usp=sharing"",""งบพรบ!BA57"")"),0)</f>
        <v>0</v>
      </c>
      <c r="M124" s="92">
        <f ca="1">IFERROR(__xludf.DUMMYFUNCTION("IMPORTRANGE(""https://docs.google.com/spreadsheets/d/1MeEWN-I1oV_STSDYn1IFDPWt_1FKiwhDph83XaGc0o0/edit?usp=sharing"",""งบพรบ!BF57"")"),0)</f>
        <v>0</v>
      </c>
      <c r="N124" s="92">
        <f ca="1">IFERROR(__xludf.DUMMYFUNCTION("IMPORTRANGE(""https://docs.google.com/spreadsheets/d/1MeEWN-I1oV_STSDYn1IFDPWt_1FKiwhDph83XaGc0o0/edit?usp=sharing"",""งบพรบ!BH57"")"),0)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IFERROR(__xludf.DUMMYFUNCTION("IMPORTRANGE(""https://docs.google.com/spreadsheets/d/1MeEWN-I1oV_STSDYn1IFDPWt_1FKiwhDph83XaGc0o0/edit?usp=sharing"",""งบพรบ!BD57"")"),0)</f>
        <v>0</v>
      </c>
      <c r="M127" s="92">
        <f ca="1">IFERROR(__xludf.DUMMYFUNCTION("IMPORTRANGE(""https://docs.google.com/spreadsheets/d/1MeEWN-I1oV_STSDYn1IFDPWt_1FKiwhDph83XaGc0o0/edit?usp=sharing"",""งบพรบ!BG57"")"),0)</f>
        <v>0</v>
      </c>
      <c r="N127" s="92">
        <f ca="1">IFERROR(__xludf.DUMMYFUNCTION("IMPORTRANGE(""https://docs.google.com/spreadsheets/d/1MeEWN-I1oV_STSDYn1IFDPWt_1FKiwhDph83XaGc0o0/edit?usp=sharing"",""งบพรบ!BI57"")"),0)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IFERROR(__xludf.DUMMYFUNCTION("IMPORTRANGE(""https://docs.google.com/spreadsheets/d/1MeEWN-I1oV_STSDYn1IFDPWt_1FKiwhDph83XaGc0o0/edit?usp=sharing"",""งบพรบ!BK57"")"),0)</f>
        <v>0</v>
      </c>
      <c r="M137" s="92">
        <f ca="1">IFERROR(__xludf.DUMMYFUNCTION("IMPORTRANGE(""https://docs.google.com/spreadsheets/d/1MeEWN-I1oV_STSDYn1IFDPWt_1FKiwhDph83XaGc0o0/edit?usp=sharing"",""งบพรบ!BP57"")"),0)</f>
        <v>0</v>
      </c>
      <c r="N137" s="92">
        <f ca="1">IFERROR(__xludf.DUMMYFUNCTION("IMPORTRANGE(""https://docs.google.com/spreadsheets/d/1MeEWN-I1oV_STSDYn1IFDPWt_1FKiwhDph83XaGc0o0/edit?usp=sharing"",""งบพรบ!BR57"")"),0)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IFERROR(__xludf.DUMMYFUNCTION("IMPORTRANGE(""https://docs.google.com/spreadsheets/d/1MeEWN-I1oV_STSDYn1IFDPWt_1FKiwhDph83XaGc0o0/edit?usp=sharing"",""งบพรบ!BN57"")"),0)</f>
        <v>0</v>
      </c>
      <c r="M140" s="92">
        <f ca="1">IFERROR(__xludf.DUMMYFUNCTION("IMPORTRANGE(""https://docs.google.com/spreadsheets/d/1MeEWN-I1oV_STSDYn1IFDPWt_1FKiwhDph83XaGc0o0/edit?usp=sharing"",""งบพรบ!BQ57"")"),0)</f>
        <v>0</v>
      </c>
      <c r="N140" s="92">
        <f ca="1">IFERROR(__xludf.DUMMYFUNCTION("IMPORTRANGE(""https://docs.google.com/spreadsheets/d/1MeEWN-I1oV_STSDYn1IFDPWt_1FKiwhDph83XaGc0o0/edit?usp=sharing"",""งบพรบ!BS57"")"),0)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IFERROR(__xludf.DUMMYFUNCTION("IMPORTRANGE(""https://docs.google.com/spreadsheets/d/1QqKyyYR6Q21VydFLVH3TRQUabQu_ym0Zz7PgGX0-kHA/edit?usp=sharing"",""แผน!U57"")"),0)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IFERROR(__xludf.DUMMYFUNCTION("IMPORTRANGE(""https://docs.google.com/spreadsheets/d/1QqKyyYR6Q21VydFLVH3TRQUabQu_ym0Zz7PgGX0-kHA/edit?usp=sharing"",""แผน!V57"")"),0)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IFERROR(__xludf.DUMMYFUNCTION("IMPORTRANGE(""https://docs.google.com/spreadsheets/d/1QqKyyYR6Q21VydFLVH3TRQUabQu_ym0Zz7PgGX0-kHA/edit?usp=sharing"",""แผน!W57"")"),0)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10</v>
      </c>
      <c r="J148" s="143">
        <f>J159</f>
        <v>10</v>
      </c>
      <c r="K148" s="144">
        <f ca="1">IF(I148&gt;0,J148*100/I148,0)</f>
        <v>100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5000</v>
      </c>
      <c r="M149" s="154">
        <f ca="1">M150+M151</f>
        <v>5000</v>
      </c>
      <c r="N149" s="154">
        <f ca="1">N150+N151</f>
        <v>5000</v>
      </c>
      <c r="O149" s="154">
        <f t="shared" ref="O149:O157" ca="1" si="35">IF(L149&gt;0,N149*100/L149,0)</f>
        <v>100</v>
      </c>
      <c r="P149" s="154">
        <f t="shared" ref="P149:P157" ca="1" si="36">IF(M149&gt;0,N149*100/M149,0)</f>
        <v>100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5000</v>
      </c>
      <c r="M151" s="92">
        <f t="shared" ca="1" si="37"/>
        <v>5000</v>
      </c>
      <c r="N151" s="92">
        <f t="shared" ca="1" si="37"/>
        <v>5000</v>
      </c>
      <c r="O151" s="92">
        <f t="shared" ca="1" si="35"/>
        <v>100</v>
      </c>
      <c r="P151" s="92">
        <f t="shared" ca="1" si="36"/>
        <v>100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5000</v>
      </c>
      <c r="M152" s="497">
        <f ca="1">M153+M154</f>
        <v>5000</v>
      </c>
      <c r="N152" s="497">
        <f ca="1">N153+N154</f>
        <v>5000</v>
      </c>
      <c r="O152" s="497">
        <f t="shared" ca="1" si="35"/>
        <v>100</v>
      </c>
      <c r="P152" s="497">
        <f t="shared" ca="1" si="36"/>
        <v>100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IFERROR(__xludf.DUMMYFUNCTION("IMPORTRANGE(""https://docs.google.com/spreadsheets/d/1MeEWN-I1oV_STSDYn1IFDPWt_1FKiwhDph83XaGc0o0/edit?usp=sharing"",""งบพรบ!BU57"")"),5000)</f>
        <v>5000</v>
      </c>
      <c r="M154" s="92">
        <f ca="1">IFERROR(__xludf.DUMMYFUNCTION("IMPORTRANGE(""https://docs.google.com/spreadsheets/d/1MeEWN-I1oV_STSDYn1IFDPWt_1FKiwhDph83XaGc0o0/edit?usp=sharing"",""งบพรบ!BZ57"")"),5000)</f>
        <v>5000</v>
      </c>
      <c r="N154" s="92">
        <f ca="1">IFERROR(__xludf.DUMMYFUNCTION("IMPORTRANGE(""https://docs.google.com/spreadsheets/d/1MeEWN-I1oV_STSDYn1IFDPWt_1FKiwhDph83XaGc0o0/edit?usp=sharing"",""งบพรบ!CB57"")"),5000)</f>
        <v>5000</v>
      </c>
      <c r="O154" s="92">
        <f t="shared" ca="1" si="35"/>
        <v>100</v>
      </c>
      <c r="P154" s="92">
        <f t="shared" ca="1" si="36"/>
        <v>100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IFERROR(__xludf.DUMMYFUNCTION("IMPORTRANGE(""https://docs.google.com/spreadsheets/d/1MeEWN-I1oV_STSDYn1IFDPWt_1FKiwhDph83XaGc0o0/edit?usp=sharing"",""งบพรบ!BX57"")"),0)</f>
        <v>0</v>
      </c>
      <c r="M157" s="92">
        <f ca="1">IFERROR(__xludf.DUMMYFUNCTION("IMPORTRANGE(""https://docs.google.com/spreadsheets/d/1MeEWN-I1oV_STSDYn1IFDPWt_1FKiwhDph83XaGc0o0/edit?usp=sharing"",""งบพรบ!CA57"")"),0)</f>
        <v>0</v>
      </c>
      <c r="N157" s="92">
        <f ca="1">IFERROR(__xludf.DUMMYFUNCTION("IMPORTRANGE(""https://docs.google.com/spreadsheets/d/1MeEWN-I1oV_STSDYn1IFDPWt_1FKiwhDph83XaGc0o0/edit?usp=sharing"",""งบพรบ!CC57"")"),0)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IFERROR(__xludf.DUMMYFUNCTION("IMPORTRANGE(""https://docs.google.com/spreadsheets/d/1QqKyyYR6Q21VydFLVH3TRQUabQu_ym0Zz7PgGX0-kHA/edit?usp=sharing"",""แผน!X57"")"),10)</f>
        <v>10</v>
      </c>
      <c r="J159" s="214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32850</v>
      </c>
      <c r="N165" s="154">
        <f ca="1">N166+N167</f>
        <v>32850</v>
      </c>
      <c r="O165" s="154">
        <f t="shared" ref="O165:O173" ca="1" si="38">IF(L165&gt;0,N165*100/L165,0)</f>
        <v>156.05700712589075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32850</v>
      </c>
      <c r="N167" s="92">
        <f t="shared" ca="1" si="40"/>
        <v>32850</v>
      </c>
      <c r="O167" s="92">
        <f t="shared" ca="1" si="38"/>
        <v>156.05700712589075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32850</v>
      </c>
      <c r="N168" s="497">
        <f ca="1">N169+N170</f>
        <v>32850</v>
      </c>
      <c r="O168" s="497">
        <f t="shared" ca="1" si="38"/>
        <v>156.05700712589075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IFERROR(__xludf.DUMMYFUNCTION("IMPORTRANGE(""https://docs.google.com/spreadsheets/d/1MeEWN-I1oV_STSDYn1IFDPWt_1FKiwhDph83XaGc0o0/edit?usp=sharing"",""งบพรบ!CE57"")"),21050)</f>
        <v>21050</v>
      </c>
      <c r="M170" s="92">
        <f ca="1">IFERROR(__xludf.DUMMYFUNCTION("IMPORTRANGE(""https://docs.google.com/spreadsheets/d/1MeEWN-I1oV_STSDYn1IFDPWt_1FKiwhDph83XaGc0o0/edit?usp=sharing"",""งบพรบ!CJ57"")"),32850)</f>
        <v>32850</v>
      </c>
      <c r="N170" s="92">
        <f ca="1">IFERROR(__xludf.DUMMYFUNCTION("IMPORTRANGE(""https://docs.google.com/spreadsheets/d/1MeEWN-I1oV_STSDYn1IFDPWt_1FKiwhDph83XaGc0o0/edit?usp=sharing"",""งบพรบ!CL57"")"),32850)</f>
        <v>32850</v>
      </c>
      <c r="O170" s="92">
        <f t="shared" ca="1" si="38"/>
        <v>156.05700712589075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IFERROR(__xludf.DUMMYFUNCTION("IMPORTRANGE(""https://docs.google.com/spreadsheets/d/1MeEWN-I1oV_STSDYn1IFDPWt_1FKiwhDph83XaGc0o0/edit?usp=sharing"",""งบพรบ!CH57"")"),0)</f>
        <v>0</v>
      </c>
      <c r="M173" s="92">
        <f ca="1">IFERROR(__xludf.DUMMYFUNCTION("IMPORTRANGE(""https://docs.google.com/spreadsheets/d/1MeEWN-I1oV_STSDYn1IFDPWt_1FKiwhDph83XaGc0o0/edit?usp=sharing"",""งบพรบ!CK57"")"),0)</f>
        <v>0</v>
      </c>
      <c r="N173" s="92">
        <f ca="1">IFERROR(__xludf.DUMMYFUNCTION("IMPORTRANGE(""https://docs.google.com/spreadsheets/d/1MeEWN-I1oV_STSDYn1IFDPWt_1FKiwhDph83XaGc0o0/edit?usp=sharing"",""งบพรบ!CM57"")"),0)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IFERROR(__xludf.DUMMYFUNCTION("IMPORTRANGE(""https://docs.google.com/spreadsheets/d/1QqKyyYR6Q21VydFLVH3TRQUabQu_ym0Zz7PgGX0-kHA/edit?usp=sharing"",""แผน!Y57"")"),10)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10</v>
      </c>
      <c r="J180" s="252">
        <f>J225+J226</f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36100</v>
      </c>
      <c r="M181" s="154">
        <f ca="1">M182+M183</f>
        <v>42820</v>
      </c>
      <c r="N181" s="154">
        <f ca="1">N182+N183</f>
        <v>42820</v>
      </c>
      <c r="O181" s="154">
        <f t="shared" ref="O181:O189" ca="1" si="41">IF(L181&gt;0,N181*100/L181,0)</f>
        <v>118.61495844875347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36100</v>
      </c>
      <c r="M183" s="92">
        <f t="shared" ca="1" si="43"/>
        <v>42820</v>
      </c>
      <c r="N183" s="92">
        <f t="shared" ca="1" si="43"/>
        <v>42820</v>
      </c>
      <c r="O183" s="92">
        <f t="shared" ca="1" si="41"/>
        <v>118.61495844875347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36100</v>
      </c>
      <c r="M184" s="497">
        <f ca="1">M185+M186</f>
        <v>42820</v>
      </c>
      <c r="N184" s="497">
        <f ca="1">N185+N186</f>
        <v>42820</v>
      </c>
      <c r="O184" s="497">
        <f t="shared" ca="1" si="41"/>
        <v>118.61495844875347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IFERROR(__xludf.DUMMYFUNCTION("IMPORTRANGE(""https://docs.google.com/spreadsheets/d/1MeEWN-I1oV_STSDYn1IFDPWt_1FKiwhDph83XaGc0o0/edit?usp=sharing"",""งบพรบ!CO57"")"),36100)</f>
        <v>36100</v>
      </c>
      <c r="M186" s="92">
        <f ca="1">IFERROR(__xludf.DUMMYFUNCTION("IMPORTRANGE(""https://docs.google.com/spreadsheets/d/1MeEWN-I1oV_STSDYn1IFDPWt_1FKiwhDph83XaGc0o0/edit?usp=sharing"",""งบพรบ!CT57"")"),42820)</f>
        <v>42820</v>
      </c>
      <c r="N186" s="92">
        <f ca="1">IFERROR(__xludf.DUMMYFUNCTION("IMPORTRANGE(""https://docs.google.com/spreadsheets/d/1MeEWN-I1oV_STSDYn1IFDPWt_1FKiwhDph83XaGc0o0/edit?usp=sharing"",""งบพรบ!CV57"")"),42820)</f>
        <v>42820</v>
      </c>
      <c r="O186" s="92">
        <f t="shared" ca="1" si="41"/>
        <v>118.61495844875347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IFERROR(__xludf.DUMMYFUNCTION("IMPORTRANGE(""https://docs.google.com/spreadsheets/d/1MeEWN-I1oV_STSDYn1IFDPWt_1FKiwhDph83XaGc0o0/edit?usp=sharing"",""งบพรบ!CR57"")"),0)</f>
        <v>0</v>
      </c>
      <c r="M189" s="92">
        <f ca="1">IFERROR(__xludf.DUMMYFUNCTION("IMPORTRANGE(""https://docs.google.com/spreadsheets/d/1MeEWN-I1oV_STSDYn1IFDPWt_1FKiwhDph83XaGc0o0/edit?usp=sharing"",""งบพรบ!CU57"")"),0)</f>
        <v>0</v>
      </c>
      <c r="N189" s="92">
        <f ca="1">IFERROR(__xludf.DUMMYFUNCTION("IMPORTRANGE(""https://docs.google.com/spreadsheets/d/1MeEWN-I1oV_STSDYn1IFDPWt_1FKiwhDph83XaGc0o0/edit?usp=sharing"",""งบพรบ!CW57"")"),0)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IFERROR(__xludf.DUMMYFUNCTION("IMPORTRANGE(""https://docs.google.com/spreadsheets/d/1QqKyyYR6Q21VydFLVH3TRQUabQu_ym0Zz7PgGX0-kHA/edit?usp=sharing"",""แผน!Z57"")"),6000)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IFERROR(__xludf.DUMMYFUNCTION("IMPORTRANGE(""https://docs.google.com/spreadsheets/d/1QqKyyYR6Q21VydFLVH3TRQUabQu_ym0Zz7PgGX0-kHA/edit?usp=sharing"",""แผน!AC57"")"),4)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466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466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IFERROR(__xludf.DUMMYFUNCTION("IMPORTRANGE(""https://docs.google.com/spreadsheets/d/1QqKyyYR6Q21VydFLVH3TRQUabQu_ym0Zz7PgGX0-kHA/edit?usp=sharing"",""แผน!AI57"")"),1)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IFERROR(__xludf.DUMMYFUNCTION("IMPORTRANGE(""https://docs.google.com/spreadsheets/d/1QqKyyYR6Q21VydFLVH3TRQUabQu_ym0Zz7PgGX0-kHA/edit?usp=sharing"",""แผน!AN57"")"),0)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IFERROR(__xludf.DUMMYFUNCTION("IMPORTRANGE(""https://docs.google.com/spreadsheets/d/1QqKyyYR6Q21VydFLVH3TRQUabQu_ym0Zz7PgGX0-kHA/edit?usp=sharing"",""แผน!AN57"")"),0)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12800</v>
      </c>
      <c r="J216" s="271">
        <f>J224</f>
        <v>12800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17100</v>
      </c>
      <c r="M217" s="154"/>
      <c r="N217" s="154">
        <f>N218+N219+N220</f>
        <v>17100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3">
        <v>4100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3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IFERROR(__xludf.DUMMYFUNCTION("IMPORTRANGE(""https://docs.google.com/spreadsheets/d/1QqKyyYR6Q21VydFLVH3TRQUabQu_ym0Zz7PgGX0-kHA/edit?usp=sharing"",""แผน!AT57"")"),12800)</f>
        <v>12800</v>
      </c>
      <c r="J223" s="214">
        <v>12800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IFERROR(__xludf.DUMMYFUNCTION("IMPORTRANGE(""https://docs.google.com/spreadsheets/d/1QqKyyYR6Q21VydFLVH3TRQUabQu_ym0Zz7PgGX0-kHA/edit?usp=sharing"",""แผน!AT57"")"),12800)</f>
        <v>12800</v>
      </c>
      <c r="J224" s="214">
        <v>12800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IFERROR(__xludf.DUMMYFUNCTION("IMPORTRANGE(""https://docs.google.com/spreadsheets/d/1QqKyyYR6Q21VydFLVH3TRQUabQu_ym0Zz7PgGX0-kHA/edit?usp=sharing"",""แผน!AS57"")"),10)</f>
        <v>10</v>
      </c>
      <c r="J225" s="214">
        <v>10</v>
      </c>
      <c r="K225" s="162">
        <f ca="1">IF(I225&gt;0,J225*100/I225,0)</f>
        <v>100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IFERROR(__xludf.DUMMYFUNCTION("IMPORTRANGE(""https://docs.google.com/spreadsheets/d/1QqKyyYR6Q21VydFLVH3TRQUabQu_ym0Zz7PgGX0-kHA/edit?usp=sharing"",""แผน!AV57"")"),0)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IFERROR(__xludf.DUMMYFUNCTION("IMPORTRANGE(""https://docs.google.com/spreadsheets/d/1QqKyyYR6Q21VydFLVH3TRQUabQu_ym0Zz7PgGX0-kHA/edit?usp=sharing"",""แผน!AW57"")"),0)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IFERROR(__xludf.DUMMYFUNCTION("IMPORTRANGE(""https://docs.google.com/spreadsheets/d/1QqKyyYR6Q21VydFLVH3TRQUabQu_ym0Zz7PgGX0-kHA/edit?usp=sharing"",""แผน!AX57"")"),0)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IFERROR(__xludf.DUMMYFUNCTION("IMPORTRANGE(""https://docs.google.com/spreadsheets/d/1QqKyyYR6Q21VydFLVH3TRQUabQu_ym0Zz7PgGX0-kHA/edit?usp=sharing"",""แผน!AY57"")"),0)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IFERROR(__xludf.DUMMYFUNCTION("IMPORTRANGE(""https://docs.google.com/spreadsheets/d/1QqKyyYR6Q21VydFLVH3TRQUabQu_ym0Zz7PgGX0-kHA/edit?usp=sharing"",""แผน!AZ57"")"),0)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IFERROR(__xludf.DUMMYFUNCTION("IMPORTRANGE(""https://docs.google.com/spreadsheets/d/1QqKyyYR6Q21VydFLVH3TRQUabQu_ym0Zz7PgGX0-kHA/edit?usp=sharing"",""แผน!BA57"")"),0)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IFERROR(__xludf.DUMMYFUNCTION("IMPORTRANGE(""https://docs.google.com/spreadsheets/d/1QqKyyYR6Q21VydFLVH3TRQUabQu_ym0Zz7PgGX0-kHA/edit?usp=sharing"",""แผน!BB57"")"),0)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IFERROR(__xludf.DUMMYFUNCTION("IMPORTRANGE(""https://docs.google.com/spreadsheets/d/1QqKyyYR6Q21VydFLVH3TRQUabQu_ym0Zz7PgGX0-kHA/edit?usp=sharing"",""แผน!BC57"")"),0)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IFERROR(__xludf.DUMMYFUNCTION("IMPORTRANGE(""https://docs.google.com/spreadsheets/d/1MeEWN-I1oV_STSDYn1IFDPWt_1FKiwhDph83XaGc0o0/edit?usp=sharing"",""งบพรบ!CY57"")"),26900)</f>
        <v>26900</v>
      </c>
      <c r="M266" s="92">
        <f ca="1">IFERROR(__xludf.DUMMYFUNCTION("IMPORTRANGE(""https://docs.google.com/spreadsheets/d/1MeEWN-I1oV_STSDYn1IFDPWt_1FKiwhDph83XaGc0o0/edit?usp=sharing"",""งบพรบ!DD57"")"),26900)</f>
        <v>26900</v>
      </c>
      <c r="N266" s="92">
        <f ca="1">IFERROR(__xludf.DUMMYFUNCTION("IMPORTRANGE(""https://docs.google.com/spreadsheets/d/1MeEWN-I1oV_STSDYn1IFDPWt_1FKiwhDph83XaGc0o0/edit?usp=sharing"",""งบพรบ!DF57"")"),26900)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IFERROR(__xludf.DUMMYFUNCTION("IMPORTRANGE(""https://docs.google.com/spreadsheets/d/1MeEWN-I1oV_STSDYn1IFDPWt_1FKiwhDph83XaGc0o0/edit?usp=sharing"",""งบพรบ!DB57"")"),0)</f>
        <v>0</v>
      </c>
      <c r="M269" s="92">
        <f ca="1">IFERROR(__xludf.DUMMYFUNCTION("IMPORTRANGE(""https://docs.google.com/spreadsheets/d/1MeEWN-I1oV_STSDYn1IFDPWt_1FKiwhDph83XaGc0o0/edit?usp=sharing"",""งบพรบ!DE57"")"),0)</f>
        <v>0</v>
      </c>
      <c r="N269" s="92">
        <f ca="1">IFERROR(__xludf.DUMMYFUNCTION("IMPORTRANGE(""https://docs.google.com/spreadsheets/d/1MeEWN-I1oV_STSDYn1IFDPWt_1FKiwhDph83XaGc0o0/edit?usp=sharing"",""งบพรบ!DG57"")"),0)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IFERROR(__xludf.DUMMYFUNCTION("IMPORTRANGE(""https://docs.google.com/spreadsheets/d/1QqKyyYR6Q21VydFLVH3TRQUabQu_ym0Zz7PgGX0-kHA/edit?usp=sharing"",""แผน!EA57"")"),22)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IFERROR(__xludf.DUMMYFUNCTION("IMPORTRANGE(""https://docs.google.com/spreadsheets/d/1MeEWN-I1oV_STSDYn1IFDPWt_1FKiwhDph83XaGc0o0/edit?usp=sharing"",""งบพรบ!DI57"")"),0)</f>
        <v>0</v>
      </c>
      <c r="M282" s="92">
        <f ca="1">IFERROR(__xludf.DUMMYFUNCTION("IMPORTRANGE(""https://docs.google.com/spreadsheets/d/1MeEWN-I1oV_STSDYn1IFDPWt_1FKiwhDph83XaGc0o0/edit?usp=sharing"",""งบพรบ!DN57"")"),0)</f>
        <v>0</v>
      </c>
      <c r="N282" s="92">
        <f ca="1">IFERROR(__xludf.DUMMYFUNCTION("IMPORTRANGE(""https://docs.google.com/spreadsheets/d/1MeEWN-I1oV_STSDYn1IFDPWt_1FKiwhDph83XaGc0o0/edit?usp=sharing"",""งบพรบ!DP57"")"),0)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IFERROR(__xludf.DUMMYFUNCTION("IMPORTRANGE(""https://docs.google.com/spreadsheets/d/1MeEWN-I1oV_STSDYn1IFDPWt_1FKiwhDph83XaGc0o0/edit?usp=sharing"",""งบพรบ!DL57"")"),0)</f>
        <v>0</v>
      </c>
      <c r="M285" s="92">
        <f ca="1">IFERROR(__xludf.DUMMYFUNCTION("IMPORTRANGE(""https://docs.google.com/spreadsheets/d/1MeEWN-I1oV_STSDYn1IFDPWt_1FKiwhDph83XaGc0o0/edit?usp=sharing"",""งบพรบ!DO57"")"),0)</f>
        <v>0</v>
      </c>
      <c r="N285" s="92">
        <f ca="1">IFERROR(__xludf.DUMMYFUNCTION("IMPORTRANGE(""https://docs.google.com/spreadsheets/d/1MeEWN-I1oV_STSDYn1IFDPWt_1FKiwhDph83XaGc0o0/edit?usp=sharing"",""งบพรบ!DQ57"")"),0)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IFERROR(__xludf.DUMMYFUNCTION("IMPORTRANGE(""https://docs.google.com/spreadsheets/d/1QqKyyYR6Q21VydFLVH3TRQUabQu_ym0Zz7PgGX0-kHA/edit?usp=sharing"",""แผน!EC57"")"),0)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IFERROR(__xludf.DUMMYFUNCTION("IMPORTRANGE(""https://docs.google.com/spreadsheets/d/1QqKyyYR6Q21VydFLVH3TRQUabQu_ym0Zz7PgGX0-kHA/edit?usp=sharing"",""แผน!EB57"")"),0)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IFERROR(__xludf.DUMMYFUNCTION("IMPORTRANGE(""https://docs.google.com/spreadsheets/d/1QqKyyYR6Q21VydFLVH3TRQUabQu_ym0Zz7PgGX0-kHA/edit?usp=sharing"",""แผน!EB57"")"),0)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IFERROR(__xludf.DUMMYFUNCTION("IMPORTRANGE(""https://docs.google.com/spreadsheets/d/1QqKyyYR6Q21VydFLVH3TRQUabQu_ym0Zz7PgGX0-kHA/edit?usp=sharing"",""แผน!EB57"")"),0)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IFERROR(__xludf.DUMMYFUNCTION("IMPORTRANGE(""https://docs.google.com/spreadsheets/d/1QqKyyYR6Q21VydFLVH3TRQUabQu_ym0Zz7PgGX0-kHA/edit?usp=sharing"",""แผน!EB57"")"),0)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20</v>
      </c>
      <c r="J297" s="443">
        <f>J309</f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82400</v>
      </c>
      <c r="M298" s="154">
        <f ca="1">M299+M300</f>
        <v>90400</v>
      </c>
      <c r="N298" s="154">
        <f ca="1">N299+N300</f>
        <v>90400</v>
      </c>
      <c r="O298" s="154">
        <f t="shared" ref="O298:O306" ca="1" si="50">IF(L298&gt;0,N298*100/L298,0)</f>
        <v>109.70873786407768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82400</v>
      </c>
      <c r="M300" s="92">
        <f t="shared" ca="1" si="52"/>
        <v>90400</v>
      </c>
      <c r="N300" s="92">
        <f t="shared" ca="1" si="52"/>
        <v>90400</v>
      </c>
      <c r="O300" s="92">
        <f t="shared" ca="1" si="50"/>
        <v>109.70873786407768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82400</v>
      </c>
      <c r="M301" s="497">
        <f ca="1">M302+M303</f>
        <v>90400</v>
      </c>
      <c r="N301" s="497">
        <f ca="1">N302+N303</f>
        <v>90400</v>
      </c>
      <c r="O301" s="497">
        <f t="shared" ca="1" si="50"/>
        <v>109.70873786407768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IFERROR(__xludf.DUMMYFUNCTION("IMPORTRANGE(""https://docs.google.com/spreadsheets/d/1MeEWN-I1oV_STSDYn1IFDPWt_1FKiwhDph83XaGc0o0/edit?usp=sharing"",""งบพรบ!DS57"")"),82400)</f>
        <v>82400</v>
      </c>
      <c r="M303" s="92">
        <f ca="1">IFERROR(__xludf.DUMMYFUNCTION("IMPORTRANGE(""https://docs.google.com/spreadsheets/d/1MeEWN-I1oV_STSDYn1IFDPWt_1FKiwhDph83XaGc0o0/edit?usp=sharing"",""งบพรบ!DX57"")"),90400)</f>
        <v>90400</v>
      </c>
      <c r="N303" s="92">
        <f ca="1">IFERROR(__xludf.DUMMYFUNCTION("IMPORTRANGE(""https://docs.google.com/spreadsheets/d/1MeEWN-I1oV_STSDYn1IFDPWt_1FKiwhDph83XaGc0o0/edit?usp=sharing"",""งบพรบ!DZ57"")"),90400)</f>
        <v>90400</v>
      </c>
      <c r="O303" s="92">
        <f t="shared" ca="1" si="50"/>
        <v>109.70873786407768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IFERROR(__xludf.DUMMYFUNCTION("IMPORTRANGE(""https://docs.google.com/spreadsheets/d/1MeEWN-I1oV_STSDYn1IFDPWt_1FKiwhDph83XaGc0o0/edit?usp=sharing"",""งบพรบ!DV57"")"),0)</f>
        <v>0</v>
      </c>
      <c r="M306" s="92">
        <f ca="1">IFERROR(__xludf.DUMMYFUNCTION("IMPORTRANGE(""https://docs.google.com/spreadsheets/d/1MeEWN-I1oV_STSDYn1IFDPWt_1FKiwhDph83XaGc0o0/edit?usp=sharing"",""งบพรบ!DY57"")"),0)</f>
        <v>0</v>
      </c>
      <c r="N306" s="92">
        <f ca="1">IFERROR(__xludf.DUMMYFUNCTION("IMPORTRANGE(""https://docs.google.com/spreadsheets/d/1MeEWN-I1oV_STSDYn1IFDPWt_1FKiwhDph83XaGc0o0/edit?usp=sharing"",""งบพรบ!EA57"")"),0)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IFERROR(__xludf.DUMMYFUNCTION("IMPORTRANGE(""https://docs.google.com/spreadsheets/d/1QqKyyYR6Q21VydFLVH3TRQUabQu_ym0Zz7PgGX0-kHA/edit?usp=sharing"",""แผน!ED57"")"),20)</f>
        <v>20</v>
      </c>
      <c r="J309" s="214">
        <v>20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IFERROR(__xludf.DUMMYFUNCTION("IMPORTRANGE(""https://docs.google.com/spreadsheets/d/1QqKyyYR6Q21VydFLVH3TRQUabQu_ym0Zz7PgGX0-kHA/edit?usp=sharing"",""แผน!ED57"")"),20)</f>
        <v>20</v>
      </c>
      <c r="J310" s="214">
        <v>20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IFERROR(__xludf.DUMMYFUNCTION("IMPORTRANGE(""https://docs.google.com/spreadsheets/d/1QqKyyYR6Q21VydFLVH3TRQUabQu_ym0Zz7PgGX0-kHA/edit?usp=sharing"",""แผน!ED57"")"),20)</f>
        <v>20</v>
      </c>
      <c r="J311" s="214">
        <v>20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IFERROR(__xludf.DUMMYFUNCTION("IMPORTRANGE(""https://docs.google.com/spreadsheets/d/1QqKyyYR6Q21VydFLVH3TRQUabQu_ym0Zz7PgGX0-kHA/edit?usp=sharing"",""แผน!EE57"")"),4)</f>
        <v>4</v>
      </c>
      <c r="J312" s="214">
        <v>4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IFERROR(__xludf.DUMMYFUNCTION("IMPORTRANGE(""https://docs.google.com/spreadsheets/d/1MeEWN-I1oV_STSDYn1IFDPWt_1FKiwhDph83XaGc0o0/edit?usp=sharing"",""งบพรบ!EC57"")"),0)</f>
        <v>0</v>
      </c>
      <c r="M320" s="92">
        <f ca="1">IFERROR(__xludf.DUMMYFUNCTION("IMPORTRANGE(""https://docs.google.com/spreadsheets/d/1MeEWN-I1oV_STSDYn1IFDPWt_1FKiwhDph83XaGc0o0/edit?usp=sharing"",""งบพรบ!EH57"")"),0)</f>
        <v>0</v>
      </c>
      <c r="N320" s="92">
        <f ca="1">IFERROR(__xludf.DUMMYFUNCTION("IMPORTRANGE(""https://docs.google.com/spreadsheets/d/1MeEWN-I1oV_STSDYn1IFDPWt_1FKiwhDph83XaGc0o0/edit?usp=sharing"",""งบพรบ!EJ57"")"),0)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IFERROR(__xludf.DUMMYFUNCTION("IMPORTRANGE(""https://docs.google.com/spreadsheets/d/1MeEWN-I1oV_STSDYn1IFDPWt_1FKiwhDph83XaGc0o0/edit?usp=sharing"",""งบพรบ!EF57"")"),0)</f>
        <v>0</v>
      </c>
      <c r="M323" s="92">
        <f ca="1">IFERROR(__xludf.DUMMYFUNCTION("IMPORTRANGE(""https://docs.google.com/spreadsheets/d/1MeEWN-I1oV_STSDYn1IFDPWt_1FKiwhDph83XaGc0o0/edit?usp=sharing"",""งบพรบ!EI57"")"),0)</f>
        <v>0</v>
      </c>
      <c r="N323" s="92">
        <f ca="1">IFERROR(__xludf.DUMMYFUNCTION("IMPORTRANGE(""https://docs.google.com/spreadsheets/d/1MeEWN-I1oV_STSDYn1IFDPWt_1FKiwhDph83XaGc0o0/edit?usp=sharing"",""งบพรบ!EK57"")"),0)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IFERROR(__xludf.DUMMYFUNCTION("IMPORTRANGE(""https://docs.google.com/spreadsheets/d/1QqKyyYR6Q21VydFLVH3TRQUabQu_ym0Zz7PgGX0-kHA/edit?usp=sharing"",""แผน!EG57"")"),800)</f>
        <v>800</v>
      </c>
      <c r="J327" s="443">
        <f ca="1">J338+J341+J342+J343</f>
        <v>1423</v>
      </c>
      <c r="K327" s="444">
        <f ca="1">IF(I327&gt;0,J327*100/I327,0)</f>
        <v>177.875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163000</v>
      </c>
      <c r="M328" s="154">
        <f ca="1">M329+M330</f>
        <v>165500</v>
      </c>
      <c r="N328" s="154">
        <f ca="1">N329+N330</f>
        <v>165500</v>
      </c>
      <c r="O328" s="154">
        <f t="shared" ref="O328:O336" ca="1" si="56">IF(L328&gt;0,N328*100/L328,0)</f>
        <v>101.53374233128834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163000</v>
      </c>
      <c r="M330" s="92">
        <f t="shared" ca="1" si="58"/>
        <v>165500</v>
      </c>
      <c r="N330" s="92">
        <f t="shared" ca="1" si="58"/>
        <v>165500</v>
      </c>
      <c r="O330" s="92">
        <f t="shared" ca="1" si="56"/>
        <v>101.53374233128834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163000</v>
      </c>
      <c r="M331" s="497">
        <f ca="1">M332+M333</f>
        <v>165500</v>
      </c>
      <c r="N331" s="497">
        <f ca="1">N332+N333</f>
        <v>165500</v>
      </c>
      <c r="O331" s="497">
        <f t="shared" ca="1" si="56"/>
        <v>101.53374233128834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IFERROR(__xludf.DUMMYFUNCTION("IMPORTRANGE(""https://docs.google.com/spreadsheets/d/1MeEWN-I1oV_STSDYn1IFDPWt_1FKiwhDph83XaGc0o0/edit?usp=sharing"",""งบพรบ!EM57"")"),163000)</f>
        <v>163000</v>
      </c>
      <c r="M333" s="92">
        <f ca="1">IFERROR(__xludf.DUMMYFUNCTION("IMPORTRANGE(""https://docs.google.com/spreadsheets/d/1MeEWN-I1oV_STSDYn1IFDPWt_1FKiwhDph83XaGc0o0/edit?usp=sharing"",""งบพรบ!ER57"")"),165500)</f>
        <v>165500</v>
      </c>
      <c r="N333" s="92">
        <f ca="1">IFERROR(__xludf.DUMMYFUNCTION("IMPORTRANGE(""https://docs.google.com/spreadsheets/d/1MeEWN-I1oV_STSDYn1IFDPWt_1FKiwhDph83XaGc0o0/edit?usp=sharing"",""งบพรบ!ET57"")"),165500)</f>
        <v>165500</v>
      </c>
      <c r="O333" s="92">
        <f t="shared" ca="1" si="56"/>
        <v>101.53374233128834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IFERROR(__xludf.DUMMYFUNCTION("IMPORTRANGE(""https://docs.google.com/spreadsheets/d/1MeEWN-I1oV_STSDYn1IFDPWt_1FKiwhDph83XaGc0o0/edit?usp=sharing"",""งบพรบ!EP57"")"),0)</f>
        <v>0</v>
      </c>
      <c r="M336" s="92">
        <f ca="1">IFERROR(__xludf.DUMMYFUNCTION("IMPORTRANGE(""https://docs.google.com/spreadsheets/d/1MeEWN-I1oV_STSDYn1IFDPWt_1FKiwhDph83XaGc0o0/edit?usp=sharing"",""งบพรบ!ES57"")"),0)</f>
        <v>0</v>
      </c>
      <c r="N336" s="92">
        <f ca="1">IFERROR(__xludf.DUMMYFUNCTION("IMPORTRANGE(""https://docs.google.com/spreadsheets/d/1MeEWN-I1oV_STSDYn1IFDPWt_1FKiwhDph83XaGc0o0/edit?usp=sharing"",""งบพรบ!EU57"")"),0)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IFERROR(__xludf.DUMMYFUNCTION("IMPORTRANGE(""https://docs.google.com/spreadsheets/d/1QqKyyYR6Q21VydFLVH3TRQUabQu_ym0Zz7PgGX0-kHA/edit?usp=sharing"",""แผน!EG57"")"),800)</f>
        <v>800</v>
      </c>
      <c r="J338" s="269">
        <f ca="1">IFERROR(__xludf.DUMMYFUNCTION("IMPORTRANGE(""https://docs.google.com/spreadsheets/d/1kVcqe37tkHyjCSG3S0O1AXqVkqjo8mSIZil3BcpIysc/edit?usp=sharing"",""ศูนย์!D57"")"),1224)</f>
        <v>1224</v>
      </c>
      <c r="K338" s="497">
        <f ca="1">IF(I338&gt;0,J338*100/I338,0)</f>
        <v>153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IFERROR(__xludf.DUMMYFUNCTION("IMPORTRANGE(""https://docs.google.com/spreadsheets/d/1QqKyyYR6Q21VydFLVH3TRQUabQu_ym0Zz7PgGX0-kHA/edit?usp=sharing"",""แผน!EH57"")"),5)</f>
        <v>5</v>
      </c>
      <c r="J340" s="269">
        <f ca="1">IFERROR(__xludf.DUMMYFUNCTION("IMPORTRANGE(""https://docs.google.com/spreadsheets/d/1kVcqe37tkHyjCSG3S0O1AXqVkqjo8mSIZil3BcpIysc/edit?usp=sharing"",""ศูนย์!E57"")"),5)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IFERROR(__xludf.DUMMYFUNCTION("IMPORTRANGE(""https://docs.google.com/spreadsheets/d/1kVcqe37tkHyjCSG3S0O1AXqVkqjo8mSIZil3BcpIysc/edit?usp=sharing"",""ศูนย์!F57"")"),177)</f>
        <v>177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IFERROR(__xludf.DUMMYFUNCTION("IMPORTRANGE(""https://docs.google.com/spreadsheets/d/1kVcqe37tkHyjCSG3S0O1AXqVkqjo8mSIZil3BcpIysc/edit?usp=sharing"",""ศูนย์!G57"")"),22)</f>
        <v>22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400550</v>
      </c>
      <c r="M345" s="154">
        <f ca="1">M346+M347</f>
        <v>430685</v>
      </c>
      <c r="N345" s="154">
        <f ca="1">N346+N347</f>
        <v>430685</v>
      </c>
      <c r="O345" s="154">
        <f t="shared" ref="O345:O353" ca="1" si="59">IF(L345&gt;0,N345*100/L345,0)</f>
        <v>107.52340531768817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400550</v>
      </c>
      <c r="M347" s="92">
        <f t="shared" ca="1" si="61"/>
        <v>430685</v>
      </c>
      <c r="N347" s="92">
        <f t="shared" ca="1" si="61"/>
        <v>430685</v>
      </c>
      <c r="O347" s="92">
        <f t="shared" ca="1" si="59"/>
        <v>107.52340531768817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326450</v>
      </c>
      <c r="M348" s="497">
        <f ca="1">M349+M350</f>
        <v>356585</v>
      </c>
      <c r="N348" s="497">
        <f ca="1">N349+N350</f>
        <v>356585</v>
      </c>
      <c r="O348" s="497">
        <f t="shared" ca="1" si="59"/>
        <v>109.23112268341247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IFERROR(__xludf.DUMMYFUNCTION("IMPORTRANGE(""https://docs.google.com/spreadsheets/d/1MeEWN-I1oV_STSDYn1IFDPWt_1FKiwhDph83XaGc0o0/edit?usp=sharing"",""งบพรบ!EW57"")"),326450)</f>
        <v>326450</v>
      </c>
      <c r="M350" s="92">
        <f ca="1">IFERROR(__xludf.DUMMYFUNCTION("IMPORTRANGE(""https://docs.google.com/spreadsheets/d/1MeEWN-I1oV_STSDYn1IFDPWt_1FKiwhDph83XaGc0o0/edit?usp=sharing"",""งบพรบ!FB57"")"),356585)</f>
        <v>356585</v>
      </c>
      <c r="N350" s="92">
        <f ca="1">IFERROR(__xludf.DUMMYFUNCTION("IMPORTRANGE(""https://docs.google.com/spreadsheets/d/1MeEWN-I1oV_STSDYn1IFDPWt_1FKiwhDph83XaGc0o0/edit?usp=sharing"",""งบพรบ!FD57"")"),356585)</f>
        <v>356585</v>
      </c>
      <c r="O350" s="92">
        <f t="shared" ca="1" si="59"/>
        <v>109.23112268341247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74100</v>
      </c>
      <c r="M351" s="497">
        <f ca="1">M352+M353</f>
        <v>74100</v>
      </c>
      <c r="N351" s="497">
        <f ca="1">N352+N353</f>
        <v>74100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IFERROR(__xludf.DUMMYFUNCTION("IMPORTRANGE(""https://docs.google.com/spreadsheets/d/1MeEWN-I1oV_STSDYn1IFDPWt_1FKiwhDph83XaGc0o0/edit?usp=sharing"",""งบพรบ!EZ57"")"),74100)</f>
        <v>74100</v>
      </c>
      <c r="M353" s="92">
        <f ca="1">IFERROR(__xludf.DUMMYFUNCTION("IMPORTRANGE(""https://docs.google.com/spreadsheets/d/1MeEWN-I1oV_STSDYn1IFDPWt_1FKiwhDph83XaGc0o0/edit?usp=sharing"",""งบพรบ!FC57"")"),74100)</f>
        <v>74100</v>
      </c>
      <c r="N353" s="92">
        <f ca="1">IFERROR(__xludf.DUMMYFUNCTION("IMPORTRANGE(""https://docs.google.com/spreadsheets/d/1MeEWN-I1oV_STSDYn1IFDPWt_1FKiwhDph83XaGc0o0/edit?usp=sharing"",""งบพรบ!FE57"")"),74100)</f>
        <v>74100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37</v>
      </c>
      <c r="K355" s="465">
        <f ca="1">IF(I355&gt;0,J355*100/I355,0)</f>
        <v>205.55555555555554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IFERROR(__xludf.DUMMYFUNCTION("IMPORTRANGE(""https://docs.google.com/spreadsheets/d/1XWAQStnk-4SwqDmLtmXYiTMKHgktTP8We1SCoS47DrQ/edit?usp=sharing"",""จัดที่ดิน!W57"")"),36)</f>
        <v>36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IFERROR(__xludf.DUMMYFUNCTION("IMPORTRANGE(""https://docs.google.com/spreadsheets/d/1QqKyyYR6Q21VydFLVH3TRQUabQu_ym0Zz7PgGX0-kHA/edit?usp=sharing"",""แผน!EO57"")"),163)</f>
        <v>163</v>
      </c>
      <c r="J359" s="269">
        <f ca="1">IFERROR(__xludf.DUMMYFUNCTION("IMPORTRANGE(""https://docs.google.com/spreadsheets/d/1XWAQStnk-4SwqDmLtmXYiTMKHgktTP8We1SCoS47DrQ/edit?usp=sharing"",""จัดที่ดิน!X57"")"),340.83)</f>
        <v>340.83</v>
      </c>
      <c r="K359" s="497">
        <f t="shared" ca="1" si="62"/>
        <v>209.09815950920245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IFERROR(__xludf.DUMMYFUNCTION("IMPORTRANGE(""https://docs.google.com/spreadsheets/d/1QqKyyYR6Q21VydFLVH3TRQUabQu_ym0Zz7PgGX0-kHA/edit?usp=sharing"",""แผน!EP57"")"),18)</f>
        <v>18</v>
      </c>
      <c r="J360" s="269">
        <f ca="1">IFERROR(__xludf.DUMMYFUNCTION("IMPORTRANGE(""https://docs.google.com/spreadsheets/d/1XWAQStnk-4SwqDmLtmXYiTMKHgktTP8We1SCoS47DrQ/edit?usp=sharing"",""จัดที่ดิน!Y57"")"),45)</f>
        <v>45</v>
      </c>
      <c r="K360" s="497">
        <f t="shared" ca="1" si="62"/>
        <v>250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IFERROR(__xludf.DUMMYFUNCTION("IMPORTRANGE(""https://docs.google.com/spreadsheets/d/1XWAQStnk-4SwqDmLtmXYiTMKHgktTP8We1SCoS47DrQ/edit?usp=sharing"",""จัดที่ดิน!Z57"")"),404.24)</f>
        <v>404.24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IFERROR(__xludf.DUMMYFUNCTION("IMPORTRANGE(""https://docs.google.com/spreadsheets/d/1QqKyyYR6Q21VydFLVH3TRQUabQu_ym0Zz7PgGX0-kHA/edit?usp=sharing"",""แผน!EP57"")"),18)</f>
        <v>18</v>
      </c>
      <c r="J362" s="269">
        <f ca="1">IFERROR(__xludf.DUMMYFUNCTION("IMPORTRANGE(""https://docs.google.com/spreadsheets/d/1XWAQStnk-4SwqDmLtmXYiTMKHgktTP8We1SCoS47DrQ/edit?usp=sharing"",""จัดที่ดิน!AA57"")"),37)</f>
        <v>37</v>
      </c>
      <c r="K362" s="497">
        <f t="shared" ca="1" si="62"/>
        <v>205.55555555555554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IFERROR(__xludf.DUMMYFUNCTION("IMPORTRANGE(""https://docs.google.com/spreadsheets/d/1XWAQStnk-4SwqDmLtmXYiTMKHgktTP8We1SCoS47DrQ/edit?usp=sharing"",""จัดที่ดิน!AB57"")"),476.45)</f>
        <v>476.45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88</v>
      </c>
      <c r="J364" s="478">
        <f ca="1">J365+J374</f>
        <v>98</v>
      </c>
      <c r="K364" s="479">
        <f t="shared" ca="1" si="62"/>
        <v>111.36363636363636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27</v>
      </c>
      <c r="K365" s="491">
        <f t="shared" ca="1" si="62"/>
        <v>900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IFERROR(__xludf.DUMMYFUNCTION("IMPORTRANGE(""https://docs.google.com/spreadsheets/d/1XWAQStnk-4SwqDmLtmXYiTMKHgktTP8We1SCoS47DrQ/edit?usp=sharing"",""จัดที่ดิน!E57"")"),20)</f>
        <v>20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IFERROR(__xludf.DUMMYFUNCTION("IMPORTRANGE(""https://docs.google.com/spreadsheets/d/1QqKyyYR6Q21VydFLVH3TRQUabQu_ym0Zz7PgGX0-kHA/edit?usp=sharing"",""แผน!EI57"")"),13)</f>
        <v>13</v>
      </c>
      <c r="J369" s="269">
        <f ca="1">IFERROR(__xludf.DUMMYFUNCTION("IMPORTRANGE(""https://docs.google.com/spreadsheets/d/1XWAQStnk-4SwqDmLtmXYiTMKHgktTP8We1SCoS47DrQ/edit?usp=sharing"",""จัดที่ดิน!F57"")"),180.79)</f>
        <v>180.79</v>
      </c>
      <c r="K369" s="497">
        <f t="shared" ca="1" si="63"/>
        <v>1390.6923076923076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IFERROR(__xludf.DUMMYFUNCTION("IMPORTRANGE(""https://docs.google.com/spreadsheets/d/1QqKyyYR6Q21VydFLVH3TRQUabQu_ym0Zz7PgGX0-kHA/edit?usp=sharing"",""แผน!EJ57"")"),3)</f>
        <v>3</v>
      </c>
      <c r="J370" s="269">
        <f ca="1">IFERROR(__xludf.DUMMYFUNCTION("IMPORTRANGE(""https://docs.google.com/spreadsheets/d/1XWAQStnk-4SwqDmLtmXYiTMKHgktTP8We1SCoS47DrQ/edit?usp=sharing"",""จัดที่ดิน!G57"")"),26)</f>
        <v>26</v>
      </c>
      <c r="K370" s="497">
        <f t="shared" ca="1" si="63"/>
        <v>866.66666666666663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IFERROR(__xludf.DUMMYFUNCTION("IMPORTRANGE(""https://docs.google.com/spreadsheets/d/1XWAQStnk-4SwqDmLtmXYiTMKHgktTP8We1SCoS47DrQ/edit?usp=sharing"",""จัดที่ดิน!H57"")"),206.4)</f>
        <v>206.4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IFERROR(__xludf.DUMMYFUNCTION("IMPORTRANGE(""https://docs.google.com/spreadsheets/d/1QqKyyYR6Q21VydFLVH3TRQUabQu_ym0Zz7PgGX0-kHA/edit?usp=sharing"",""แผน!EJ57"")"),3)</f>
        <v>3</v>
      </c>
      <c r="J372" s="269">
        <f ca="1">IFERROR(__xludf.DUMMYFUNCTION("IMPORTRANGE(""https://docs.google.com/spreadsheets/d/1XWAQStnk-4SwqDmLtmXYiTMKHgktTP8We1SCoS47DrQ/edit?usp=sharing"",""จัดที่ดิน!I57"")"),27)</f>
        <v>27</v>
      </c>
      <c r="K372" s="497">
        <f t="shared" ca="1" si="63"/>
        <v>900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IFERROR(__xludf.DUMMYFUNCTION("IMPORTRANGE(""https://docs.google.com/spreadsheets/d/1XWAQStnk-4SwqDmLtmXYiTMKHgktTP8We1SCoS47DrQ/edit?usp=sharing"",""จัดที่ดิน!J57"")"),365.08)</f>
        <v>365.08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71</v>
      </c>
      <c r="K374" s="491">
        <f t="shared" ca="1" si="63"/>
        <v>83.529411764705884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IFERROR(__xludf.DUMMYFUNCTION("IMPORTRANGE(""https://docs.google.com/spreadsheets/d/1XWAQStnk-4SwqDmLtmXYiTMKHgktTP8We1SCoS47DrQ/edit?usp=sharing"",""จัดที่ดิน!AH57"")"),16)</f>
        <v>16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IFERROR(__xludf.DUMMYFUNCTION("IMPORTRANGE(""https://docs.google.com/spreadsheets/d/1QqKyyYR6Q21VydFLVH3TRQUabQu_ym0Zz7PgGX0-kHA/edit?usp=sharing"",""แผน!ET57"")"),150)</f>
        <v>150</v>
      </c>
      <c r="J378" s="269">
        <f ca="1">IFERROR(__xludf.DUMMYFUNCTION("IMPORTRANGE(""https://docs.google.com/spreadsheets/d/1XWAQStnk-4SwqDmLtmXYiTMKHgktTP8We1SCoS47DrQ/edit?usp=sharing"",""จัดที่ดิน!AI57"")"),160.04)</f>
        <v>160.04</v>
      </c>
      <c r="K378" s="497">
        <f t="shared" ca="1" si="64"/>
        <v>106.69333333333333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IFERROR(__xludf.DUMMYFUNCTION("IMPORTRANGE(""https://docs.google.com/spreadsheets/d/1QqKyyYR6Q21VydFLVH3TRQUabQu_ym0Zz7PgGX0-kHA/edit?usp=sharing"",""แผน!EU57"")"),85)</f>
        <v>85</v>
      </c>
      <c r="J379" s="269">
        <f ca="1">IFERROR(__xludf.DUMMYFUNCTION("IMPORTRANGE(""https://docs.google.com/spreadsheets/d/1XWAQStnk-4SwqDmLtmXYiTMKHgktTP8We1SCoS47DrQ/edit?usp=sharing"",""จัดที่ดิน!AJ57"")"),109)</f>
        <v>109</v>
      </c>
      <c r="K379" s="497">
        <f t="shared" ca="1" si="64"/>
        <v>128.23529411764707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IFERROR(__xludf.DUMMYFUNCTION("IMPORTRANGE(""https://docs.google.com/spreadsheets/d/1XWAQStnk-4SwqDmLtmXYiTMKHgktTP8We1SCoS47DrQ/edit?usp=sharing"",""จัดที่ดิน!AK57"")"),1855.17999999999)</f>
        <v>1855.1799999999901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IFERROR(__xludf.DUMMYFUNCTION("IMPORTRANGE(""https://docs.google.com/spreadsheets/d/1QqKyyYR6Q21VydFLVH3TRQUabQu_ym0Zz7PgGX0-kHA/edit?usp=sharing"",""แผน!EU57"")"),85)</f>
        <v>85</v>
      </c>
      <c r="J381" s="269">
        <f ca="1">IFERROR(__xludf.DUMMYFUNCTION("IMPORTRANGE(""https://docs.google.com/spreadsheets/d/1XWAQStnk-4SwqDmLtmXYiTMKHgktTP8We1SCoS47DrQ/edit?usp=sharing"",""จัดที่ดิน!AL57"")"),71)</f>
        <v>71</v>
      </c>
      <c r="K381" s="497">
        <f t="shared" ca="1" si="64"/>
        <v>83.529411764705884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IFERROR(__xludf.DUMMYFUNCTION("IMPORTRANGE(""https://docs.google.com/spreadsheets/d/1XWAQStnk-4SwqDmLtmXYiTMKHgktTP8We1SCoS47DrQ/edit?usp=sharing"",""จัดที่ดิน!AM57"")"),1416.03)</f>
        <v>1416.03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IFERROR(__xludf.DUMMYFUNCTION("IMPORTRANGE(""https://docs.google.com/spreadsheets/d/1MeEWN-I1oV_STSDYn1IFDPWt_1FKiwhDph83XaGc0o0/edit?usp=sharing"",""งบพรบ!FG57"")"),0)</f>
        <v>0</v>
      </c>
      <c r="M394" s="92">
        <f ca="1">IFERROR(__xludf.DUMMYFUNCTION("IMPORTRANGE(""https://docs.google.com/spreadsheets/d/1MeEWN-I1oV_STSDYn1IFDPWt_1FKiwhDph83XaGc0o0/edit?usp=sharing"",""งบพรบ!FL57"")"),0)</f>
        <v>0</v>
      </c>
      <c r="N394" s="92">
        <f ca="1">IFERROR(__xludf.DUMMYFUNCTION("IMPORTRANGE(""https://docs.google.com/spreadsheets/d/1MeEWN-I1oV_STSDYn1IFDPWt_1FKiwhDph83XaGc0o0/edit?usp=sharing"",""งบพรบ!FN57"")"),0)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IFERROR(__xludf.DUMMYFUNCTION("IMPORTRANGE(""https://docs.google.com/spreadsheets/d/1MeEWN-I1oV_STSDYn1IFDPWt_1FKiwhDph83XaGc0o0/edit?usp=sharing"",""งบพรบ!FJ57"")"),0)</f>
        <v>0</v>
      </c>
      <c r="M397" s="92">
        <f ca="1">IFERROR(__xludf.DUMMYFUNCTION("IMPORTRANGE(""https://docs.google.com/spreadsheets/d/1MeEWN-I1oV_STSDYn1IFDPWt_1FKiwhDph83XaGc0o0/edit?usp=sharing"",""งบพรบ!FM57"")"),0)</f>
        <v>0</v>
      </c>
      <c r="N397" s="92">
        <f ca="1">IFERROR(__xludf.DUMMYFUNCTION("IMPORTRANGE(""https://docs.google.com/spreadsheets/d/1MeEWN-I1oV_STSDYn1IFDPWt_1FKiwhDph83XaGc0o0/edit?usp=sharing"",""งบพรบ!FO57"")"),0)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IFERROR(__xludf.DUMMYFUNCTION("IMPORTRANGE(""https://docs.google.com/spreadsheets/d/1MeEWN-I1oV_STSDYn1IFDPWt_1FKiwhDph83XaGc0o0/edit?usp=sharing"",""งบพรบ!FQ57"")"),0)</f>
        <v>0</v>
      </c>
      <c r="M407" s="92">
        <f ca="1">IFERROR(__xludf.DUMMYFUNCTION("IMPORTRANGE(""https://docs.google.com/spreadsheets/d/1MeEWN-I1oV_STSDYn1IFDPWt_1FKiwhDph83XaGc0o0/edit?usp=sharing"",""งบพรบ!FV57"")"),0)</f>
        <v>0</v>
      </c>
      <c r="N407" s="92">
        <f ca="1">IFERROR(__xludf.DUMMYFUNCTION("IMPORTRANGE(""https://docs.google.com/spreadsheets/d/1MeEWN-I1oV_STSDYn1IFDPWt_1FKiwhDph83XaGc0o0/edit?usp=sharing"",""งบพรบ!FX57"")"),0)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IFERROR(__xludf.DUMMYFUNCTION("IMPORTRANGE(""https://docs.google.com/spreadsheets/d/1MeEWN-I1oV_STSDYn1IFDPWt_1FKiwhDph83XaGc0o0/edit?usp=sharing"",""งบพรบ!FT57"")"),0)</f>
        <v>0</v>
      </c>
      <c r="M410" s="92">
        <f ca="1">IFERROR(__xludf.DUMMYFUNCTION("IMPORTRANGE(""https://docs.google.com/spreadsheets/d/1MeEWN-I1oV_STSDYn1IFDPWt_1FKiwhDph83XaGc0o0/edit?usp=sharing"",""งบพรบ!FW57"")"),0)</f>
        <v>0</v>
      </c>
      <c r="N410" s="92">
        <f ca="1">IFERROR(__xludf.DUMMYFUNCTION("IMPORTRANGE(""https://docs.google.com/spreadsheets/d/1MeEWN-I1oV_STSDYn1IFDPWt_1FKiwhDph83XaGc0o0/edit?usp=sharing"",""งบพรบ!FY57"")"),0)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637548</v>
      </c>
      <c r="M414" s="549">
        <f ca="1">M419+M444+M467+M502+M523+M544+M629+M655+M685+M737+M754+M770+M786+M805</f>
        <v>586833</v>
      </c>
      <c r="N414" s="549">
        <f>N419+N444+N467+N502+N523+N544+N629+N655+N685+N737+N754+N770+N786+N805</f>
        <v>586833</v>
      </c>
      <c r="O414" s="549">
        <f ca="1">IF(L414&gt;0,N414*100/L414,0)</f>
        <v>92.045304824107362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20</v>
      </c>
      <c r="J417" s="565">
        <f ca="1">J433</f>
        <v>20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78660</v>
      </c>
      <c r="M419" s="154">
        <f ca="1">M420+M421</f>
        <v>78660</v>
      </c>
      <c r="N419" s="154">
        <f>N420+N421</f>
        <v>78660</v>
      </c>
      <c r="O419" s="154">
        <f t="shared" ref="O419:O424" ca="1" si="71">IF(L419&gt;0,N419*100/L419,0)</f>
        <v>100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78660</v>
      </c>
      <c r="M421" s="92">
        <f t="shared" ca="1" si="73"/>
        <v>78660</v>
      </c>
      <c r="N421" s="92">
        <f t="shared" si="73"/>
        <v>78660</v>
      </c>
      <c r="O421" s="92">
        <f t="shared" ca="1" si="71"/>
        <v>100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78660</v>
      </c>
      <c r="M422" s="497">
        <f ca="1">M423+M424</f>
        <v>78660</v>
      </c>
      <c r="N422" s="497">
        <f>N423+N424</f>
        <v>78660</v>
      </c>
      <c r="O422" s="497">
        <f t="shared" ca="1" si="71"/>
        <v>100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IFERROR(__xludf.DUMMYFUNCTION("IMPORTRANGE(""https://docs.google.com/spreadsheets/d/1QqKyyYR6Q21VydFLVH3TRQUabQu_ym0Zz7PgGX0-kHA/edit?usp=sharing"",""แผน!EY57"")"),78660)</f>
        <v>78660</v>
      </c>
      <c r="M424" s="92">
        <f ca="1">L424</f>
        <v>78660</v>
      </c>
      <c r="N424" s="92">
        <f>N425+N426+N427+N428</f>
        <v>78660</v>
      </c>
      <c r="O424" s="92">
        <f t="shared" ca="1" si="71"/>
        <v>100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24500+5760</f>
        <v>30260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IFERROR(__xludf.DUMMYFUNCTION("IMPORTRANGE(""https://docs.google.com/spreadsheets/d/1QqKyyYR6Q21VydFLVH3TRQUabQu_ym0Zz7PgGX0-kHA/edit?usp=sharing"",""แผน!FB57"")"),0)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IFERROR(__xludf.DUMMYFUNCTION("IMPORTRANGE(""https://docs.google.com/spreadsheets/d/1QqKyyYR6Q21VydFLVH3TRQUabQu_ym0Zz7PgGX0-kHA/edit?usp=sharing"",""แผน!FE57"")"),0)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IFERROR(__xludf.DUMMYFUNCTION("IMPORTRANGE(""https://docs.google.com/spreadsheets/d/1QqKyyYR6Q21VydFLVH3TRQUabQu_ym0Zz7PgGX0-kHA/edit?usp=sharing"",""แผน!FG57"")"),1)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IFERROR(__xludf.DUMMYFUNCTION("IMPORTRANGE(""https://docs.google.com/spreadsheets/d/1QqKyyYR6Q21VydFLVH3TRQUabQu_ym0Zz7PgGX0-kHA/edit?usp=sharing"",""แผน!FH57"")"),0)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IFERROR(__xludf.DUMMYFUNCTION("IMPORTRANGE(""https://docs.google.com/spreadsheets/d/1QqKyyYR6Q21VydFLVH3TRQUabQu_ym0Zz7PgGX0-kHA/edit?usp=sharing"",""แผน!FJ57"")"),0)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IFERROR(__xludf.DUMMYFUNCTION("IMPORTRANGE(""https://docs.google.com/spreadsheets/d/1QqKyyYR6Q21VydFLVH3TRQUabQu_ym0Zz7PgGX0-kHA/edit?usp=sharing"",""แผน!FM57"")"),0)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IFERROR(__xludf.DUMMYFUNCTION("IMPORTRANGE(""https://docs.google.com/spreadsheets/d/1QqKyyYR6Q21VydFLVH3TRQUabQu_ym0Zz7PgGX0-kHA/edit?usp=sharing"",""แผน!FN57"")"),0)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IFERROR(__xludf.DUMMYFUNCTION("IMPORTRANGE(""https://docs.google.com/spreadsheets/d/1QqKyyYR6Q21VydFLVH3TRQUabQu_ym0Zz7PgGX0-kHA/edit?usp=sharing"",""แผน!FO57"")"),0)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IFERROR(__xludf.DUMMYFUNCTION("IMPORTRANGE(""https://docs.google.com/spreadsheets/d/1QqKyyYR6Q21VydFLVH3TRQUabQu_ym0Zz7PgGX0-kHA/edit?usp=sharing"",""แผน!FO57"")"),0)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IFERROR(__xludf.DUMMYFUNCTION("IMPORTRANGE(""https://docs.google.com/spreadsheets/d/1QqKyyYR6Q21VydFLVH3TRQUabQu_ym0Zz7PgGX0-kHA/edit?usp=sharing"",""แผน!FN57"")"),0)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174403</v>
      </c>
      <c r="M467" s="194">
        <f ca="1">M468+M469</f>
        <v>179763</v>
      </c>
      <c r="N467" s="194">
        <f>N468+N469</f>
        <v>179763</v>
      </c>
      <c r="O467" s="194">
        <f t="shared" ref="O467:O472" ca="1" si="78">IF(L467&gt;0,N467*100/L467,0)</f>
        <v>103.07334162829768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174403</v>
      </c>
      <c r="M469" s="92">
        <f t="shared" ca="1" si="80"/>
        <v>179763</v>
      </c>
      <c r="N469" s="92">
        <f t="shared" si="80"/>
        <v>179763</v>
      </c>
      <c r="O469" s="92">
        <f t="shared" ca="1" si="78"/>
        <v>103.07334162829768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174403</v>
      </c>
      <c r="M470" s="497">
        <f ca="1">M471+M472</f>
        <v>179763</v>
      </c>
      <c r="N470" s="497">
        <f>N471+N472</f>
        <v>179763</v>
      </c>
      <c r="O470" s="497">
        <f t="shared" ca="1" si="78"/>
        <v>103.07334162829768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IFERROR(__xludf.DUMMYFUNCTION("IMPORTRANGE(""https://docs.google.com/spreadsheets/d/1QqKyyYR6Q21VydFLVH3TRQUabQu_ym0Zz7PgGX0-kHA/edit?usp=sharing"",""แผน!FS57"")"),174403)</f>
        <v>174403</v>
      </c>
      <c r="M472" s="92">
        <f ca="1">L472+5360</f>
        <v>179763</v>
      </c>
      <c r="N472" s="92">
        <f>N473+N474+N475+N476</f>
        <v>179763</v>
      </c>
      <c r="O472" s="92">
        <f t="shared" ca="1" si="78"/>
        <v>103.07334162829768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30263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21500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IFERROR(__xludf.DUMMYFUNCTION("IMPORTRANGE(""https://docs.google.com/spreadsheets/d/1QqKyyYR6Q21VydFLVH3TRQUabQu_ym0Zz7PgGX0-kHA/edit?usp=sharing"",""แผน!FV57"")"),0)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IFERROR(__xludf.DUMMYFUNCTION("IMPORTRANGE(""https://docs.google.com/spreadsheets/d/1QqKyyYR6Q21VydFLVH3TRQUabQu_ym0Zz7PgGX0-kHA/edit?usp=sharing"",""แผน!FY57"")"),180)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IFERROR(__xludf.DUMMYFUNCTION("IMPORTRANGE(""https://docs.google.com/spreadsheets/d/1QqKyyYR6Q21VydFLVH3TRQUabQu_ym0Zz7PgGX0-kHA/edit?usp=sharing"",""แผน!FZ57"")"),18)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IFERROR(__xludf.DUMMYFUNCTION("IMPORTRANGE(""https://docs.google.com/spreadsheets/d/1QqKyyYR6Q21VydFLVH3TRQUabQu_ym0Zz7PgGX0-kHA/edit?usp=sharing"",""แผน!GA57"")"),20)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IFERROR(__xludf.DUMMYFUNCTION("IMPORTRANGE(""https://docs.google.com/spreadsheets/d/1QqKyyYR6Q21VydFLVH3TRQUabQu_ym0Zz7PgGX0-kHA/edit?usp=sharing"",""แผน!GB57"")"),2)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IFERROR(__xludf.DUMMYFUNCTION("IMPORTRANGE(""https://docs.google.com/spreadsheets/d/1QqKyyYR6Q21VydFLVH3TRQUabQu_ym0Zz7PgGX0-kHA/edit?usp=sharing"",""แผน!GC57"")"),1)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IFERROR(__xludf.DUMMYFUNCTION("IMPORTRANGE(""https://docs.google.com/spreadsheets/d/1QqKyyYR6Q21VydFLVH3TRQUabQu_ym0Zz7PgGX0-kHA/edit?usp=sharing"",""แผน!FY57"")"),180)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IFERROR(__xludf.DUMMYFUNCTION("IMPORTRANGE(""https://docs.google.com/spreadsheets/d/1QqKyyYR6Q21VydFLVH3TRQUabQu_ym0Zz7PgGX0-kHA/edit?usp=sharing"",""แผน!GA57"")"),20)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IFERROR(__xludf.DUMMYFUNCTION("IMPORTRANGE(""https://docs.google.com/spreadsheets/d/1QqKyyYR6Q21VydFLVH3TRQUabQu_ym0Zz7PgGX0-kHA/edit?usp=sharing"",""แผน!GQ57"")"),0)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IFERROR(__xludf.DUMMYFUNCTION("IMPORTRANGE(""https://docs.google.com/spreadsheets/d/1QqKyyYR6Q21VydFLVH3TRQUabQu_ym0Zz7PgGX0-kHA/edit?usp=sharing"",""แผน!GT57"")"),0)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IFERROR(__xludf.DUMMYFUNCTION("IMPORTRANGE(""https://docs.google.com/spreadsheets/d/1QqKyyYR6Q21VydFLVH3TRQUabQu_ym0Zz7PgGX0-kHA/edit?usp=sharing"",""แผน!GV57"")"),0)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IFERROR(__xludf.DUMMYFUNCTION("IMPORTRANGE(""https://docs.google.com/spreadsheets/d/1QqKyyYR6Q21VydFLVH3TRQUabQu_ym0Zz7PgGX0-kHA/edit?usp=sharing"",""แผน!GW57"")"),0)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IFERROR(__xludf.DUMMYFUNCTION("IMPORTRANGE(""https://docs.google.com/spreadsheets/d/1QqKyyYR6Q21VydFLVH3TRQUabQu_ym0Zz7PgGX0-kHA/edit?usp=sharing"",""แผน!GX57"")"),0)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IFERROR(__xludf.DUMMYFUNCTION("IMPORTRANGE(""https://docs.google.com/spreadsheets/d/1QqKyyYR6Q21VydFLVH3TRQUabQu_ym0Zz7PgGX0-kHA/edit?usp=sharing"",""แผน!GY57"")"),0)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IFERROR(__xludf.DUMMYFUNCTION("IMPORTRANGE(""https://docs.google.com/spreadsheets/d/1QqKyyYR6Q21VydFLVH3TRQUabQu_ym0Zz7PgGX0-kHA/edit?usp=sharing"",""แผน!GZ57"")"),0)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217100</v>
      </c>
      <c r="M544" s="154">
        <f ca="1">M545+M546</f>
        <v>189100</v>
      </c>
      <c r="N544" s="154">
        <f>N545+N546</f>
        <v>189100</v>
      </c>
      <c r="O544" s="154">
        <f t="shared" ref="O544:O549" ca="1" si="88">IF(L544&gt;0,N544*100/L544,0)</f>
        <v>87.102717641639799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217100</v>
      </c>
      <c r="M546" s="92">
        <f ca="1">M549+M556</f>
        <v>189100</v>
      </c>
      <c r="N546" s="92">
        <f>N549+N556</f>
        <v>189100</v>
      </c>
      <c r="O546" s="92">
        <f t="shared" ca="1" si="88"/>
        <v>87.102717641639799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217100</v>
      </c>
      <c r="M547" s="497">
        <f ca="1">M548+M549</f>
        <v>189100</v>
      </c>
      <c r="N547" s="497">
        <f>N548+N549</f>
        <v>189100</v>
      </c>
      <c r="O547" s="497">
        <f t="shared" ca="1" si="88"/>
        <v>87.102717641639799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IFERROR(__xludf.DUMMYFUNCTION("IMPORTRANGE(""https://docs.google.com/spreadsheets/d/1QqKyyYR6Q21VydFLVH3TRQUabQu_ym0Zz7PgGX0-kHA/edit?usp=sharing"",""แผน!HB57"")"),217100)</f>
        <v>217100</v>
      </c>
      <c r="M549" s="92">
        <f ca="1">L549-28000</f>
        <v>189100</v>
      </c>
      <c r="N549" s="92">
        <f>N550+N551+N552+N553+N554</f>
        <v>189100</v>
      </c>
      <c r="O549" s="92">
        <f t="shared" ca="1" si="88"/>
        <v>87.102717641639799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37000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143000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9100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IFERROR(__xludf.DUMMYFUNCTION("IMPORTRANGE(""https://docs.google.com/spreadsheets/d/1QqKyyYR6Q21VydFLVH3TRQUabQu_ym0Zz7PgGX0-kHA/edit?usp=sharing"",""แผน!HF57"")"),0)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IFERROR(__xludf.DUMMYFUNCTION("IMPORTRANGE(""https://docs.google.com/spreadsheets/d/1QqKyyYR6Q21VydFLVH3TRQUabQu_ym0Zz7PgGX0-kHA/edit?usp=sharing"",""แผน!HH57"")"),0)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IFERROR(__xludf.DUMMYFUNCTION("IMPORTRANGE(""https://docs.google.com/spreadsheets/d/1QqKyyYR6Q21VydFLVH3TRQUabQu_ym0Zz7PgGX0-kHA/edit?usp=sharing"",""แผน!HG57"")"),0)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IFERROR(__xludf.DUMMYFUNCTION("IMPORTRANGE(""https://docs.google.com/spreadsheets/d/1QqKyyYR6Q21VydFLVH3TRQUabQu_ym0Zz7PgGX0-kHA/edit?usp=sharing"",""แผน!HH57"")"),0)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IFERROR(__xludf.DUMMYFUNCTION("IMPORTRANGE(""https://docs.google.com/spreadsheets/d/1QqKyyYR6Q21VydFLVH3TRQUabQu_ym0Zz7PgGX0-kHA/edit?usp=sharing"",""แผน!HG57"")"),0)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IFERROR(__xludf.DUMMYFUNCTION("IMPORTRANGE(""https://docs.google.com/spreadsheets/d/1QqKyyYR6Q21VydFLVH3TRQUabQu_ym0Zz7PgGX0-kHA/edit?usp=sharing"",""แผน!HH57"")"),0)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IFERROR(__xludf.DUMMYFUNCTION("IMPORTRANGE(""https://docs.google.com/spreadsheets/d/1QqKyyYR6Q21VydFLVH3TRQUabQu_ym0Zz7PgGX0-kHA/edit?usp=sharing"",""แผน!HG57"")"),0)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274.72000000000003</v>
      </c>
      <c r="J592" s="703">
        <f>J593</f>
        <v>274.7235</v>
      </c>
      <c r="K592" s="672">
        <f ca="1">IF(I592&gt;0,J592*100/I592,0)</f>
        <v>100.00127402446125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2">
        <f>J595+J603+J609</f>
        <v>274.7235</v>
      </c>
      <c r="K593" s="410">
        <f ca="1">IF(I593&gt;0,J593*100/I593,0)</f>
        <v>100.00127402446125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IFERROR(__xludf.DUMMYFUNCTION("IMPORTRANGE(""https://docs.google.com/spreadsheets/d/1QqKyyYR6Q21VydFLVH3TRQUabQu_ym0Zz7PgGX0-kHA/edit?usp=sharing"",""แผน!HI57"")"),17)</f>
        <v>17</v>
      </c>
      <c r="J594" s="192">
        <f>J596+J604+J610</f>
        <v>17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57.661000000000001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4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57.661000000000001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4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217.0625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13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217.0625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13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6</v>
      </c>
      <c r="J628" s="736">
        <f ca="1">J651</f>
        <v>6</v>
      </c>
      <c r="K628" s="737">
        <f ca="1">IF(I628&gt;0,J628*100/I628,0)</f>
        <v>100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146945</v>
      </c>
      <c r="M629" s="194">
        <f ca="1">M630+M631</f>
        <v>119870</v>
      </c>
      <c r="N629" s="194">
        <f>N630+N631</f>
        <v>119870</v>
      </c>
      <c r="O629" s="194">
        <f t="shared" ref="O629:O634" ca="1" si="90">IF(L629&gt;0,N629*100/L629,0)</f>
        <v>81.574738847868247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146945</v>
      </c>
      <c r="M631" s="92">
        <f t="shared" ca="1" si="92"/>
        <v>119870</v>
      </c>
      <c r="N631" s="92">
        <f t="shared" si="92"/>
        <v>119870</v>
      </c>
      <c r="O631" s="92">
        <f t="shared" ca="1" si="90"/>
        <v>81.574738847868247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146945</v>
      </c>
      <c r="M632" s="497">
        <f ca="1">M633+M634</f>
        <v>119870</v>
      </c>
      <c r="N632" s="497">
        <f>N633+N634</f>
        <v>119870</v>
      </c>
      <c r="O632" s="497">
        <f t="shared" ca="1" si="90"/>
        <v>81.574738847868247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IFERROR(__xludf.DUMMYFUNCTION("IMPORTRANGE(""https://docs.google.com/spreadsheets/d/1QqKyyYR6Q21VydFLVH3TRQUabQu_ym0Zz7PgGX0-kHA/edit?usp=sharing"",""แผน!HN57"")"),146945)</f>
        <v>146945</v>
      </c>
      <c r="M634" s="92">
        <f ca="1">L634-27075</f>
        <v>119870</v>
      </c>
      <c r="N634" s="92">
        <f>N635+N636+N637+N638</f>
        <v>119870</v>
      </c>
      <c r="O634" s="92">
        <f t="shared" ca="1" si="90"/>
        <v>81.574738847868247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60000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59870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IFERROR(__xludf.DUMMYFUNCTION("IMPORTRANGE(""https://docs.google.com/spreadsheets/d/1QqKyyYR6Q21VydFLVH3TRQUabQu_ym0Zz7PgGX0-kHA/edit?usp=sharing"",""แผน!HQ57"")"),0)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IFERROR(__xludf.DUMMYFUNCTION("IMPORTRANGE(""https://docs.google.com/spreadsheets/d/1QqKyyYR6Q21VydFLVH3TRQUabQu_ym0Zz7PgGX0-kHA/edit?usp=sharing"",""แผน!HR57"")"),0)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IFERROR(__xludf.DUMMYFUNCTION("IMPORTRANGE(""https://docs.google.com/spreadsheets/d/1QqKyyYR6Q21VydFLVH3TRQUabQu_ym0Zz7PgGX0-kHA/edit?usp=sharing"",""แผน!HR57"")"),0)</f>
        <v>0</v>
      </c>
      <c r="J644" s="214">
        <v>1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IFERROR(__xludf.DUMMYFUNCTION("IMPORTRANGE(""https://docs.google.com/spreadsheets/d/1XWAQStnk-4SwqDmLtmXYiTMKHgktTP8We1SCoS47DrQ/edit?usp=sharing"",""จัดที่ดิน!AS57"")"),7)</f>
        <v>7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IFERROR(__xludf.DUMMYFUNCTION("IMPORTRANGE(""https://docs.google.com/spreadsheets/d/1XWAQStnk-4SwqDmLtmXYiTMKHgktTP8We1SCoS47DrQ/edit?usp=sharing"",""จัดที่ดิน!AT57"")"),4.33)</f>
        <v>4.33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IFERROR(__xludf.DUMMYFUNCTION("IMPORTRANGE(""https://docs.google.com/spreadsheets/d/1QqKyyYR6Q21VydFLVH3TRQUabQu_ym0Zz7PgGX0-kHA/edit?usp=sharing"",""แผน!HS57"")"),6)</f>
        <v>6</v>
      </c>
      <c r="J647" s="269">
        <f ca="1">IFERROR(__xludf.DUMMYFUNCTION("IMPORTRANGE(""https://docs.google.com/spreadsheets/d/1XWAQStnk-4SwqDmLtmXYiTMKHgktTP8We1SCoS47DrQ/edit?usp=sharing"",""จัดที่ดิน!AU57"")"),10)</f>
        <v>10</v>
      </c>
      <c r="K647" s="162">
        <f t="shared" ca="1" si="93"/>
        <v>166.66666666666666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IFERROR(__xludf.DUMMYFUNCTION("IMPORTRANGE(""https://docs.google.com/spreadsheets/d/1XWAQStnk-4SwqDmLtmXYiTMKHgktTP8We1SCoS47DrQ/edit?usp=sharing"",""จัดที่ดิน!AV57"")"),6.62)</f>
        <v>6.62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IFERROR(__xludf.DUMMYFUNCTION("IMPORTRANGE(""https://docs.google.com/spreadsheets/d/1QqKyyYR6Q21VydFLVH3TRQUabQu_ym0Zz7PgGX0-kHA/edit?usp=sharing"",""แผน!HS57"")"),6)</f>
        <v>6</v>
      </c>
      <c r="J649" s="269">
        <f ca="1">IFERROR(__xludf.DUMMYFUNCTION("IMPORTRANGE(""https://docs.google.com/spreadsheets/d/1XWAQStnk-4SwqDmLtmXYiTMKHgktTP8We1SCoS47DrQ/edit?usp=sharing"",""จัดที่ดิน!AW57"")"),8)</f>
        <v>8</v>
      </c>
      <c r="K649" s="162">
        <f t="shared" ca="1" si="93"/>
        <v>133.33333333333334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IFERROR(__xludf.DUMMYFUNCTION("IMPORTRANGE(""https://docs.google.com/spreadsheets/d/1XWAQStnk-4SwqDmLtmXYiTMKHgktTP8We1SCoS47DrQ/edit?usp=sharing"",""จัดที่ดิน!AX57"")"),4.79)</f>
        <v>4.79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IFERROR(__xludf.DUMMYFUNCTION("IMPORTRANGE(""https://docs.google.com/spreadsheets/d/1QqKyyYR6Q21VydFLVH3TRQUabQu_ym0Zz7PgGX0-kHA/edit?usp=sharing"",""แผน!HS57"")"),6)</f>
        <v>6</v>
      </c>
      <c r="J651" s="269">
        <f ca="1">IFERROR(__xludf.DUMMYFUNCTION("IMPORTRANGE(""https://docs.google.com/spreadsheets/d/1XWAQStnk-4SwqDmLtmXYiTMKHgktTP8We1SCoS47DrQ/edit?usp=sharing"",""จัดที่ดิน!AY57"")"),6)</f>
        <v>6</v>
      </c>
      <c r="K651" s="162">
        <f t="shared" ca="1" si="93"/>
        <v>100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IFERROR(__xludf.DUMMYFUNCTION("IMPORTRANGE(""https://docs.google.com/spreadsheets/d/1XWAQStnk-4SwqDmLtmXYiTMKHgktTP8We1SCoS47DrQ/edit?usp=sharing"",""จัดที่ดิน!AZ57"")"),3.94)</f>
        <v>3.94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9400</v>
      </c>
      <c r="M655" s="194">
        <f ca="1">M656+M657</f>
        <v>8400</v>
      </c>
      <c r="N655" s="194">
        <f>N656+N657</f>
        <v>8400</v>
      </c>
      <c r="O655" s="194">
        <f t="shared" ref="O655:O660" ca="1" si="94">IF(L655&gt;0,N655*100/L655,0)</f>
        <v>89.361702127659569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9400</v>
      </c>
      <c r="M657" s="92">
        <f t="shared" ca="1" si="96"/>
        <v>8400</v>
      </c>
      <c r="N657" s="92">
        <f t="shared" si="96"/>
        <v>8400</v>
      </c>
      <c r="O657" s="92">
        <f t="shared" ca="1" si="94"/>
        <v>89.361702127659569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9400</v>
      </c>
      <c r="M658" s="497">
        <f ca="1">M659+M660</f>
        <v>8400</v>
      </c>
      <c r="N658" s="497">
        <f>N659+N660</f>
        <v>8400</v>
      </c>
      <c r="O658" s="497">
        <f t="shared" ca="1" si="94"/>
        <v>89.361702127659569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IFERROR(__xludf.DUMMYFUNCTION("IMPORTRANGE(""https://docs.google.com/spreadsheets/d/1QqKyyYR6Q21VydFLVH3TRQUabQu_ym0Zz7PgGX0-kHA/edit?usp=sharing"",""แผน!HV57"")"),9400)</f>
        <v>9400</v>
      </c>
      <c r="M660" s="92">
        <f ca="1">L660+10170-11170</f>
        <v>8400</v>
      </c>
      <c r="N660" s="92">
        <f>N661+N662+N663+N664</f>
        <v>8400</v>
      </c>
      <c r="O660" s="92">
        <f t="shared" ca="1" si="94"/>
        <v>89.361702127659569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8400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IFERROR(__xludf.DUMMYFUNCTION("IMPORTRANGE(""https://docs.google.com/spreadsheets/d/1QqKyyYR6Q21VydFLVH3TRQUabQu_ym0Zz7PgGX0-kHA/edit?usp=sharing"",""แผน!HZ57"")"),4)</f>
        <v>4</v>
      </c>
      <c r="J670" s="214">
        <v>8</v>
      </c>
      <c r="K670" s="497">
        <f ca="1">IF(I670&gt;0,(J670*100)/I670,0)</f>
        <v>200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IFERROR(__xludf.DUMMYFUNCTION("IMPORTRANGE(""https://docs.google.com/spreadsheets/d/1QqKyyYR6Q21VydFLVH3TRQUabQu_ym0Zz7PgGX0-kHA/edit?usp=sharing"",""แผน!HZ57"")"),4)</f>
        <v>4</v>
      </c>
      <c r="J671" s="214">
        <v>8</v>
      </c>
      <c r="K671" s="497">
        <f ca="1">IF(I$671&gt;0,J671*100/I$671,0)</f>
        <v>200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50</v>
      </c>
      <c r="K672" s="497">
        <f ca="1">IF(I$669&gt;0,J672*100/I$669,0)</f>
        <v>100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50</v>
      </c>
      <c r="K673" s="497">
        <f ca="1">IF(I$669&gt;0,J673*100/I$669,0)</f>
        <v>100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70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70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70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11040</v>
      </c>
      <c r="M685" s="194">
        <f ca="1">M686+M687</f>
        <v>11040</v>
      </c>
      <c r="N685" s="194">
        <f>N686+N687</f>
        <v>11040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11040</v>
      </c>
      <c r="M687" s="92">
        <f t="shared" ca="1" si="97"/>
        <v>11040</v>
      </c>
      <c r="N687" s="92">
        <f t="shared" si="97"/>
        <v>11040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11040</v>
      </c>
      <c r="M688" s="497">
        <f ca="1">M689+M690</f>
        <v>11040</v>
      </c>
      <c r="N688" s="497">
        <f>N689+N690</f>
        <v>11040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IFERROR(__xludf.DUMMYFUNCTION("IMPORTRANGE(""https://docs.google.com/spreadsheets/d/1QqKyyYR6Q21VydFLVH3TRQUabQu_ym0Zz7PgGX0-kHA/edit?usp=sharing"",""แผน!HW57"")"),11040)</f>
        <v>11040</v>
      </c>
      <c r="M690" s="92">
        <f ca="1">L690</f>
        <v>11040</v>
      </c>
      <c r="N690" s="92">
        <f>N691+N692+N693+N694</f>
        <v>11040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11040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69">
        <f ca="1">IFERROR(__xludf.DUMMYFUNCTION("IMPORTRANGE(""https://docs.google.com/spreadsheets/d/1XWAQStnk-4SwqDmLtmXYiTMKHgktTP8We1SCoS47DrQ/edit?usp=sharing"",""จัดที่ดิน!BB57"")"),50.4)</f>
        <v>50.4</v>
      </c>
      <c r="K699" s="497">
        <f ca="1">IF(I699&gt;0,J699*100/I699,0)</f>
        <v>201.6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69">
        <f ca="1">IFERROR(__xludf.DUMMYFUNCTION("IMPORTRANGE(""https://docs.google.com/spreadsheets/d/1XWAQStnk-4SwqDmLtmXYiTMKHgktTP8We1SCoS47DrQ/edit?usp=sharing"",""จัดที่ดิน!BD57"")"),22)</f>
        <v>22</v>
      </c>
      <c r="K700" s="497">
        <f ca="1">IF(I700&gt;0,J700*100/I700,0)</f>
        <v>440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4">
        <f ca="1">IF(I701&gt;0,J701*100/I701,0)</f>
        <v>184.28571428571428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5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5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4">
        <v>84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2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2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4">
        <v>45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128</v>
      </c>
      <c r="K708" s="194">
        <f ca="1">IF(I708&gt;0,J708*100/I708,0)</f>
        <v>213.33333333333334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4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4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128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IFERROR(__xludf.DUMMYFUNCTION("IMPORTRANGE(""https://docs.google.com/spreadsheets/d/1XWAQStnk-4SwqDmLtmXYiTMKHgktTP8We1SCoS47DrQ/edit?usp=sharing"",""จัดที่ดิน!BF57"")"),5)</f>
        <v>5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IFERROR(__xludf.DUMMYFUNCTION("IMPORTRANGE(""https://docs.google.com/spreadsheets/d/1XWAQStnk-4SwqDmLtmXYiTMKHgktTP8We1SCoS47DrQ/edit?usp=sharing"",""จัดที่ดิน!BG57"")"),5)</f>
        <v>5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69">
        <f ca="1">IFERROR(__xludf.DUMMYFUNCTION("IMPORTRANGE(""https://docs.google.com/spreadsheets/d/1XWAQStnk-4SwqDmLtmXYiTMKHgktTP8We1SCoS47DrQ/edit?usp=sharing"",""จัดที่ดิน!BH57"")"),97.1)</f>
        <v>97.1</v>
      </c>
      <c r="K720" s="497">
        <f ca="1">IF(I720&gt;0,J720*100/I720,0)</f>
        <v>194.2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2</v>
      </c>
      <c r="K721" s="194">
        <f ca="1">IF(I721&gt;0,J721*100/I721,0)</f>
        <v>40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27.362500000000001</v>
      </c>
      <c r="K722" s="194">
        <f ca="1">IF(I722&gt;0,J722*100/I722,0)</f>
        <v>27.362500000000001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69">
        <f ca="1">IFERROR(__xludf.DUMMYFUNCTION("IMPORTRANGE(""https://docs.google.com/spreadsheets/d/1XWAQStnk-4SwqDmLtmXYiTMKHgktTP8We1SCoS47DrQ/edit?usp=sharing"",""จัดที่ดิน!BM57"")"),1)</f>
        <v>1</v>
      </c>
      <c r="K723" s="497">
        <f ca="1">IF(I723&gt;0,J723*100/I723,0)</f>
        <v>20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IFERROR(__xludf.DUMMYFUNCTION("IMPORTRANGE(""https://docs.google.com/spreadsheets/d/1XWAQStnk-4SwqDmLtmXYiTMKHgktTP8We1SCoS47DrQ/edit?usp=sharing"",""จัดที่ดิน!BN57"")"),1)</f>
        <v>1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69">
        <f ca="1">IFERROR(__xludf.DUMMYFUNCTION("IMPORTRANGE(""https://docs.google.com/spreadsheets/d/1XWAQStnk-4SwqDmLtmXYiTMKHgktTP8We1SCoS47DrQ/edit?usp=sharing"",""จัดที่ดิน!BO57"")"),22.3625)</f>
        <v>22.362500000000001</v>
      </c>
      <c r="K725" s="497">
        <f ca="1">IF(I725&gt;0,J725*100/I725,0)</f>
        <v>22.362500000000001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69">
        <f ca="1">IFERROR(__xludf.DUMMYFUNCTION("IMPORTRANGE(""https://docs.google.com/spreadsheets/d/1XWAQStnk-4SwqDmLtmXYiTMKHgktTP8We1SCoS47DrQ/edit?usp=sharing"",""จัดที่ดิน!BR57"")"),1)</f>
        <v>1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IFERROR(__xludf.DUMMYFUNCTION("IMPORTRANGE(""https://docs.google.com/spreadsheets/d/1XWAQStnk-4SwqDmLtmXYiTMKHgktTP8We1SCoS47DrQ/edit?usp=sharing"",""จัดที่ดิน!BS57"")"),1)</f>
        <v>1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69">
        <f ca="1">IFERROR(__xludf.DUMMYFUNCTION("IMPORTRANGE(""https://docs.google.com/spreadsheets/d/1XWAQStnk-4SwqDmLtmXYiTMKHgktTP8We1SCoS47DrQ/edit?usp=sharing"",""จัดที่ดิน!BT57"")"),5)</f>
        <v>5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IFERROR(__xludf.DUMMYFUNCTION("IMPORTRANGE(""https://docs.google.com/spreadsheets/d/1QqKyyYR6Q21VydFLVH3TRQUabQu_ym0Zz7PgGX0-kHA/edit?usp=sharing"",""แผน!JJ57"")"),0)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IFERROR(__xludf.DUMMYFUNCTION("IMPORTRANGE(""https://docs.google.com/spreadsheets/d/1QqKyyYR6Q21VydFLVH3TRQUabQu_ym0Zz7PgGX0-kHA/edit?usp=sharing"",""แผน!JN57"")"),0)</f>
        <v>0</v>
      </c>
      <c r="J800" s="183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69">
        <f ca="1">IFERROR(__xludf.DUMMYFUNCTION("IMPORTRANGE(""https://docs.google.com/spreadsheets/d/19vJNZY_5yjcGF2XGBMNZRCAIB0Kwfpjp8YEOfu-bneM/edit?usp=sharing"",""งานกองทุน!F57"")"),3218915.51)</f>
        <v>3218915.51</v>
      </c>
      <c r="K821" s="497">
        <f t="shared" ref="K821:K828" ca="1" si="113">IF(I821&gt;0,J821*100/I821,0)</f>
        <v>75.761975177032895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IFERROR(__xludf.DUMMYFUNCTION("IMPORTRANGE(""https://docs.google.com/spreadsheets/d/19vJNZY_5yjcGF2XGBMNZRCAIB0Kwfpjp8YEOfu-bneM/edit?usp=sharing"",""งานกองทุน!C57"")"),246)</f>
        <v>246</v>
      </c>
      <c r="J822" s="269">
        <f ca="1">IFERROR(__xludf.DUMMYFUNCTION("IMPORTRANGE(""https://docs.google.com/spreadsheets/d/19vJNZY_5yjcGF2XGBMNZRCAIB0Kwfpjp8YEOfu-bneM/edit?usp=sharing"",""งานกองทุน!E57"")"),197)</f>
        <v>197</v>
      </c>
      <c r="K822" s="497">
        <f t="shared" ca="1" si="113"/>
        <v>80.081300813008127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69">
        <f ca="1">IFERROR(__xludf.DUMMYFUNCTION("IMPORTRANGE(""https://docs.google.com/spreadsheets/d/19vJNZY_5yjcGF2XGBMNZRCAIB0Kwfpjp8YEOfu-bneM/edit?usp=sharing"",""งานกองทุน!K57"")"),834256.88)</f>
        <v>834256.88</v>
      </c>
      <c r="K823" s="497">
        <f t="shared" ca="1" si="113"/>
        <v>16.565892594345957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IFERROR(__xludf.DUMMYFUNCTION("IMPORTRANGE(""https://docs.google.com/spreadsheets/d/19vJNZY_5yjcGF2XGBMNZRCAIB0Kwfpjp8YEOfu-bneM/edit?usp=sharing"",""งานกองทุน!H57"")"),234)</f>
        <v>234</v>
      </c>
      <c r="J824" s="269">
        <f ca="1">IFERROR(__xludf.DUMMYFUNCTION("IMPORTRANGE(""https://docs.google.com/spreadsheets/d/19vJNZY_5yjcGF2XGBMNZRCAIB0Kwfpjp8YEOfu-bneM/edit?usp=sharing"",""งานกองทุน!J57"")"),112)</f>
        <v>112</v>
      </c>
      <c r="K824" s="497">
        <f t="shared" ca="1" si="113"/>
        <v>47.863247863247864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69">
        <f ca="1">IFERROR(__xludf.DUMMYFUNCTION("IMPORTRANGE(""https://docs.google.com/spreadsheets/d/19vJNZY_5yjcGF2XGBMNZRCAIB0Kwfpjp8YEOfu-bneM/edit?usp=sharing"",""งานกองทุน!P57"")"),3097940.85)</f>
        <v>3097940.85</v>
      </c>
      <c r="K825" s="497">
        <f t="shared" ca="1" si="113"/>
        <v>29.671180770949285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IFERROR(__xludf.DUMMYFUNCTION("IMPORTRANGE(""https://docs.google.com/spreadsheets/d/19vJNZY_5yjcGF2XGBMNZRCAIB0Kwfpjp8YEOfu-bneM/edit?usp=sharing"",""งานกองทุน!M57"")"),330)</f>
        <v>330</v>
      </c>
      <c r="J826" s="269">
        <f ca="1">IFERROR(__xludf.DUMMYFUNCTION("IMPORTRANGE(""https://docs.google.com/spreadsheets/d/19vJNZY_5yjcGF2XGBMNZRCAIB0Kwfpjp8YEOfu-bneM/edit?usp=sharing"",""งานกองทุน!O57"")"),228)</f>
        <v>228</v>
      </c>
      <c r="K826" s="497">
        <f t="shared" ca="1" si="113"/>
        <v>69.090909090909093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IFERROR(__xludf.DUMMYFUNCTION("IMPORTRANGE(""https://docs.google.com/spreadsheets/d/19vJNZY_5yjcGF2XGBMNZRCAIB0Kwfpjp8YEOfu-bneM/edit?usp=sharing"",""งานกองทุน!S57"")"),3350000)</f>
        <v>3350000</v>
      </c>
      <c r="J827" s="269">
        <f ca="1">IFERROR(__xludf.DUMMYFUNCTION("IMPORTRANGE(""https://docs.google.com/spreadsheets/d/19vJNZY_5yjcGF2XGBMNZRCAIB0Kwfpjp8YEOfu-bneM/edit?usp=sharing"",""งานกองทุน!U57"")"),3685000)</f>
        <v>3685000</v>
      </c>
      <c r="K827" s="497">
        <f t="shared" ca="1" si="113"/>
        <v>110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IFERROR(__xludf.DUMMYFUNCTION("IMPORTRANGE(""https://docs.google.com/spreadsheets/d/19vJNZY_5yjcGF2XGBMNZRCAIB0Kwfpjp8YEOfu-bneM/edit?usp=sharing"",""งานกองทุน!T57"")"),92)</f>
        <v>92</v>
      </c>
      <c r="K828" s="502">
        <f t="shared" ca="1" si="113"/>
        <v>68.656716417910445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73"/>
      <c r="E829" s="677"/>
      <c r="F829" s="677"/>
      <c r="G829" s="677"/>
      <c r="H829" s="872"/>
      <c r="I829" s="871"/>
      <c r="J829" s="871"/>
      <c r="K829" s="870"/>
      <c r="L829" s="870"/>
      <c r="M829" s="870"/>
      <c r="N829" s="870"/>
      <c r="O829" s="870"/>
      <c r="P829" s="870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73"/>
      <c r="E830" s="677"/>
      <c r="F830" s="677"/>
      <c r="G830" s="677"/>
      <c r="H830" s="872"/>
      <c r="I830" s="871"/>
      <c r="J830" s="871"/>
      <c r="K830" s="870"/>
      <c r="L830" s="870"/>
      <c r="M830" s="870"/>
      <c r="N830" s="870"/>
      <c r="O830" s="870"/>
      <c r="P830" s="870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73"/>
      <c r="E831" s="677"/>
      <c r="F831" s="677"/>
      <c r="G831" s="677"/>
      <c r="H831" s="872"/>
      <c r="I831" s="871"/>
      <c r="J831" s="871"/>
      <c r="K831" s="870"/>
      <c r="L831" s="870"/>
      <c r="M831" s="870"/>
      <c r="N831" s="870"/>
      <c r="O831" s="870"/>
      <c r="P831" s="870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73"/>
      <c r="E832" s="677"/>
      <c r="F832" s="677"/>
      <c r="G832" s="677"/>
      <c r="H832" s="872"/>
      <c r="I832" s="871"/>
      <c r="J832" s="871"/>
      <c r="K832" s="870"/>
      <c r="L832" s="870"/>
      <c r="M832" s="870"/>
      <c r="N832" s="870"/>
      <c r="O832" s="870"/>
      <c r="P832" s="870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73"/>
      <c r="E833" s="677"/>
      <c r="F833" s="677"/>
      <c r="G833" s="677"/>
      <c r="H833" s="872"/>
      <c r="I833" s="871"/>
      <c r="J833" s="871"/>
      <c r="K833" s="870"/>
      <c r="L833" s="870"/>
      <c r="M833" s="870"/>
      <c r="N833" s="870"/>
      <c r="O833" s="870"/>
      <c r="P833" s="870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73"/>
      <c r="E834" s="677"/>
      <c r="F834" s="677"/>
      <c r="G834" s="677"/>
      <c r="H834" s="872"/>
      <c r="I834" s="871"/>
      <c r="J834" s="871"/>
      <c r="K834" s="870"/>
      <c r="L834" s="870"/>
      <c r="M834" s="870"/>
      <c r="N834" s="870"/>
      <c r="O834" s="870"/>
      <c r="P834" s="870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73"/>
      <c r="E835" s="677"/>
      <c r="F835" s="677"/>
      <c r="G835" s="677"/>
      <c r="H835" s="872"/>
      <c r="I835" s="871"/>
      <c r="J835" s="871"/>
      <c r="K835" s="870"/>
      <c r="L835" s="870"/>
      <c r="M835" s="870"/>
      <c r="N835" s="870"/>
      <c r="O835" s="870"/>
      <c r="P835" s="870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73"/>
      <c r="E836" s="677"/>
      <c r="F836" s="677"/>
      <c r="G836" s="677"/>
      <c r="H836" s="872"/>
      <c r="I836" s="871"/>
      <c r="J836" s="871"/>
      <c r="K836" s="870"/>
      <c r="L836" s="870"/>
      <c r="M836" s="870"/>
      <c r="N836" s="870"/>
      <c r="O836" s="870"/>
      <c r="P836" s="870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73"/>
      <c r="E837" s="677"/>
      <c r="F837" s="677"/>
      <c r="G837" s="677"/>
      <c r="H837" s="872"/>
      <c r="I837" s="871"/>
      <c r="J837" s="871"/>
      <c r="K837" s="870"/>
      <c r="L837" s="870"/>
      <c r="M837" s="870"/>
      <c r="N837" s="870"/>
      <c r="O837" s="870"/>
      <c r="P837" s="870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73"/>
      <c r="E838" s="677"/>
      <c r="F838" s="677"/>
      <c r="G838" s="677"/>
      <c r="H838" s="872"/>
      <c r="I838" s="871"/>
      <c r="J838" s="871"/>
      <c r="K838" s="870"/>
      <c r="L838" s="870"/>
      <c r="M838" s="870"/>
      <c r="N838" s="870"/>
      <c r="O838" s="870"/>
      <c r="P838" s="870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73"/>
      <c r="E839" s="677"/>
      <c r="F839" s="677"/>
      <c r="G839" s="677"/>
      <c r="H839" s="872"/>
      <c r="I839" s="871"/>
      <c r="J839" s="871"/>
      <c r="K839" s="870"/>
      <c r="L839" s="870"/>
      <c r="M839" s="870"/>
      <c r="N839" s="870"/>
      <c r="O839" s="870"/>
      <c r="P839" s="870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73"/>
      <c r="E840" s="677"/>
      <c r="F840" s="677"/>
      <c r="G840" s="677"/>
      <c r="H840" s="872"/>
      <c r="I840" s="871"/>
      <c r="J840" s="871"/>
      <c r="K840" s="870"/>
      <c r="L840" s="870"/>
      <c r="M840" s="870"/>
      <c r="N840" s="870"/>
      <c r="O840" s="870"/>
      <c r="P840" s="870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73"/>
      <c r="E841" s="677"/>
      <c r="F841" s="677"/>
      <c r="G841" s="677"/>
      <c r="H841" s="872"/>
      <c r="I841" s="871"/>
      <c r="J841" s="871"/>
      <c r="K841" s="870"/>
      <c r="L841" s="870"/>
      <c r="M841" s="870"/>
      <c r="N841" s="870"/>
      <c r="O841" s="870"/>
      <c r="P841" s="870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73"/>
      <c r="E842" s="677"/>
      <c r="F842" s="677"/>
      <c r="G842" s="677"/>
      <c r="H842" s="872"/>
      <c r="I842" s="871"/>
      <c r="J842" s="871"/>
      <c r="K842" s="870"/>
      <c r="L842" s="870"/>
      <c r="M842" s="870"/>
      <c r="N842" s="870"/>
      <c r="O842" s="870"/>
      <c r="P842" s="870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73"/>
      <c r="E843" s="677"/>
      <c r="F843" s="677"/>
      <c r="G843" s="677"/>
      <c r="H843" s="872"/>
      <c r="I843" s="871"/>
      <c r="J843" s="871"/>
      <c r="K843" s="870"/>
      <c r="L843" s="870"/>
      <c r="M843" s="870"/>
      <c r="N843" s="870"/>
      <c r="O843" s="870"/>
      <c r="P843" s="870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73"/>
      <c r="E844" s="677"/>
      <c r="F844" s="677"/>
      <c r="G844" s="677"/>
      <c r="H844" s="872"/>
      <c r="I844" s="871"/>
      <c r="J844" s="871"/>
      <c r="K844" s="870"/>
      <c r="L844" s="870"/>
      <c r="M844" s="870"/>
      <c r="N844" s="870"/>
      <c r="O844" s="870"/>
      <c r="P844" s="870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73"/>
      <c r="E845" s="677"/>
      <c r="F845" s="677"/>
      <c r="G845" s="677"/>
      <c r="H845" s="872"/>
      <c r="I845" s="871"/>
      <c r="J845" s="871"/>
      <c r="K845" s="870"/>
      <c r="L845" s="870"/>
      <c r="M845" s="870"/>
      <c r="N845" s="870"/>
      <c r="O845" s="870"/>
      <c r="P845" s="870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73"/>
      <c r="E846" s="677"/>
      <c r="F846" s="677"/>
      <c r="G846" s="677"/>
      <c r="H846" s="872"/>
      <c r="I846" s="871"/>
      <c r="J846" s="871"/>
      <c r="K846" s="870"/>
      <c r="L846" s="870"/>
      <c r="M846" s="870"/>
      <c r="N846" s="870"/>
      <c r="O846" s="870"/>
      <c r="P846" s="870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73"/>
      <c r="E847" s="677"/>
      <c r="F847" s="677"/>
      <c r="G847" s="677"/>
      <c r="H847" s="872"/>
      <c r="I847" s="871"/>
      <c r="J847" s="871"/>
      <c r="K847" s="870"/>
      <c r="L847" s="870"/>
      <c r="M847" s="870"/>
      <c r="N847" s="870"/>
      <c r="O847" s="870"/>
      <c r="P847" s="870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73"/>
      <c r="E848" s="677"/>
      <c r="F848" s="677"/>
      <c r="G848" s="677"/>
      <c r="H848" s="872"/>
      <c r="I848" s="871"/>
      <c r="J848" s="871"/>
      <c r="K848" s="870"/>
      <c r="L848" s="870"/>
      <c r="M848" s="870"/>
      <c r="N848" s="870"/>
      <c r="O848" s="870"/>
      <c r="P848" s="870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73"/>
      <c r="E849" s="677"/>
      <c r="F849" s="677"/>
      <c r="G849" s="677"/>
      <c r="H849" s="872"/>
      <c r="I849" s="871"/>
      <c r="J849" s="871"/>
      <c r="K849" s="870"/>
      <c r="L849" s="870"/>
      <c r="M849" s="870"/>
      <c r="N849" s="870"/>
      <c r="O849" s="870"/>
      <c r="P849" s="870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73"/>
      <c r="E850" s="677"/>
      <c r="F850" s="677"/>
      <c r="G850" s="677"/>
      <c r="H850" s="872"/>
      <c r="I850" s="871"/>
      <c r="J850" s="871"/>
      <c r="K850" s="870"/>
      <c r="L850" s="870"/>
      <c r="M850" s="870"/>
      <c r="N850" s="870"/>
      <c r="O850" s="870"/>
      <c r="P850" s="870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73"/>
      <c r="E851" s="677"/>
      <c r="F851" s="677"/>
      <c r="G851" s="677"/>
      <c r="H851" s="872"/>
      <c r="I851" s="871"/>
      <c r="J851" s="871"/>
      <c r="K851" s="870"/>
      <c r="L851" s="870"/>
      <c r="M851" s="870"/>
      <c r="N851" s="870"/>
      <c r="O851" s="870"/>
      <c r="P851" s="870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73"/>
      <c r="E852" s="677"/>
      <c r="F852" s="677"/>
      <c r="G852" s="677"/>
      <c r="H852" s="872"/>
      <c r="I852" s="871"/>
      <c r="J852" s="871"/>
      <c r="K852" s="870"/>
      <c r="L852" s="870"/>
      <c r="M852" s="870"/>
      <c r="N852" s="870"/>
      <c r="O852" s="870"/>
      <c r="P852" s="870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73"/>
      <c r="E853" s="677"/>
      <c r="F853" s="677"/>
      <c r="G853" s="677"/>
      <c r="H853" s="872"/>
      <c r="I853" s="871"/>
      <c r="J853" s="871"/>
      <c r="K853" s="870"/>
      <c r="L853" s="870"/>
      <c r="M853" s="870"/>
      <c r="N853" s="870"/>
      <c r="O853" s="870"/>
      <c r="P853" s="870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73"/>
      <c r="E854" s="677"/>
      <c r="F854" s="677"/>
      <c r="G854" s="677"/>
      <c r="H854" s="872"/>
      <c r="I854" s="871"/>
      <c r="J854" s="871"/>
      <c r="K854" s="870"/>
      <c r="L854" s="870"/>
      <c r="M854" s="870"/>
      <c r="N854" s="870"/>
      <c r="O854" s="870"/>
      <c r="P854" s="870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73"/>
      <c r="E855" s="677"/>
      <c r="F855" s="677"/>
      <c r="G855" s="677"/>
      <c r="H855" s="872"/>
      <c r="I855" s="871"/>
      <c r="J855" s="871"/>
      <c r="K855" s="870"/>
      <c r="L855" s="870"/>
      <c r="M855" s="870"/>
      <c r="N855" s="870"/>
      <c r="O855" s="870"/>
      <c r="P855" s="870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73"/>
      <c r="E856" s="677"/>
      <c r="F856" s="677"/>
      <c r="G856" s="677"/>
      <c r="H856" s="872"/>
      <c r="I856" s="871"/>
      <c r="J856" s="871"/>
      <c r="K856" s="870"/>
      <c r="L856" s="870"/>
      <c r="M856" s="870"/>
      <c r="N856" s="870"/>
      <c r="O856" s="870"/>
      <c r="P856" s="870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73"/>
      <c r="E857" s="677"/>
      <c r="F857" s="677"/>
      <c r="G857" s="677"/>
      <c r="H857" s="872"/>
      <c r="I857" s="871"/>
      <c r="J857" s="871"/>
      <c r="K857" s="870"/>
      <c r="L857" s="870"/>
      <c r="M857" s="870"/>
      <c r="N857" s="870"/>
      <c r="O857" s="870"/>
      <c r="P857" s="870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73"/>
      <c r="E858" s="677"/>
      <c r="F858" s="677"/>
      <c r="G858" s="677"/>
      <c r="H858" s="872"/>
      <c r="I858" s="871"/>
      <c r="J858" s="871"/>
      <c r="K858" s="870"/>
      <c r="L858" s="870"/>
      <c r="M858" s="870"/>
      <c r="N858" s="870"/>
      <c r="O858" s="870"/>
      <c r="P858" s="870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73"/>
      <c r="E859" s="677"/>
      <c r="F859" s="677"/>
      <c r="G859" s="677"/>
      <c r="H859" s="872"/>
      <c r="I859" s="871"/>
      <c r="J859" s="871"/>
      <c r="K859" s="870"/>
      <c r="L859" s="870"/>
      <c r="M859" s="870"/>
      <c r="N859" s="870"/>
      <c r="O859" s="870"/>
      <c r="P859" s="870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73"/>
      <c r="E860" s="677"/>
      <c r="F860" s="677"/>
      <c r="G860" s="677"/>
      <c r="H860" s="872"/>
      <c r="I860" s="871"/>
      <c r="J860" s="871"/>
      <c r="K860" s="870"/>
      <c r="L860" s="870"/>
      <c r="M860" s="870"/>
      <c r="N860" s="870"/>
      <c r="O860" s="870"/>
      <c r="P860" s="870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73"/>
      <c r="E861" s="677"/>
      <c r="F861" s="677"/>
      <c r="G861" s="677"/>
      <c r="H861" s="872"/>
      <c r="I861" s="871"/>
      <c r="J861" s="871"/>
      <c r="K861" s="870"/>
      <c r="L861" s="870"/>
      <c r="M861" s="870"/>
      <c r="N861" s="870"/>
      <c r="O861" s="870"/>
      <c r="P861" s="870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73"/>
      <c r="E862" s="677"/>
      <c r="F862" s="677"/>
      <c r="G862" s="677"/>
      <c r="H862" s="872"/>
      <c r="I862" s="871"/>
      <c r="J862" s="871"/>
      <c r="K862" s="870"/>
      <c r="L862" s="870"/>
      <c r="M862" s="870"/>
      <c r="N862" s="870"/>
      <c r="O862" s="870"/>
      <c r="P862" s="870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73"/>
      <c r="E863" s="677"/>
      <c r="F863" s="677"/>
      <c r="G863" s="677"/>
      <c r="H863" s="872"/>
      <c r="I863" s="871"/>
      <c r="J863" s="871"/>
      <c r="K863" s="870"/>
      <c r="L863" s="870"/>
      <c r="M863" s="870"/>
      <c r="N863" s="870"/>
      <c r="O863" s="870"/>
      <c r="P863" s="870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73"/>
      <c r="E864" s="677"/>
      <c r="F864" s="677"/>
      <c r="G864" s="677"/>
      <c r="H864" s="872"/>
      <c r="I864" s="871"/>
      <c r="J864" s="871"/>
      <c r="K864" s="870"/>
      <c r="L864" s="870"/>
      <c r="M864" s="870"/>
      <c r="N864" s="870"/>
      <c r="O864" s="870"/>
      <c r="P864" s="870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73"/>
      <c r="E865" s="677"/>
      <c r="F865" s="677"/>
      <c r="G865" s="677"/>
      <c r="H865" s="872"/>
      <c r="I865" s="871"/>
      <c r="J865" s="871"/>
      <c r="K865" s="870"/>
      <c r="L865" s="870"/>
      <c r="M865" s="870"/>
      <c r="N865" s="870"/>
      <c r="O865" s="870"/>
      <c r="P865" s="870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73"/>
      <c r="E866" s="677"/>
      <c r="F866" s="677"/>
      <c r="G866" s="677"/>
      <c r="H866" s="872"/>
      <c r="I866" s="871"/>
      <c r="J866" s="871"/>
      <c r="K866" s="870"/>
      <c r="L866" s="870"/>
      <c r="M866" s="870"/>
      <c r="N866" s="870"/>
      <c r="O866" s="870"/>
      <c r="P866" s="870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73"/>
      <c r="E867" s="677"/>
      <c r="F867" s="677"/>
      <c r="G867" s="677"/>
      <c r="H867" s="872"/>
      <c r="I867" s="871"/>
      <c r="J867" s="871"/>
      <c r="K867" s="870"/>
      <c r="L867" s="870"/>
      <c r="M867" s="870"/>
      <c r="N867" s="870"/>
      <c r="O867" s="870"/>
      <c r="P867" s="870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73"/>
      <c r="E868" s="677"/>
      <c r="F868" s="677"/>
      <c r="G868" s="677"/>
      <c r="H868" s="872"/>
      <c r="I868" s="871"/>
      <c r="J868" s="871"/>
      <c r="K868" s="870"/>
      <c r="L868" s="870"/>
      <c r="M868" s="870"/>
      <c r="N868" s="870"/>
      <c r="O868" s="870"/>
      <c r="P868" s="870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73"/>
      <c r="E869" s="677"/>
      <c r="F869" s="677"/>
      <c r="G869" s="677"/>
      <c r="H869" s="872"/>
      <c r="I869" s="871"/>
      <c r="J869" s="871"/>
      <c r="K869" s="870"/>
      <c r="L869" s="870"/>
      <c r="M869" s="870"/>
      <c r="N869" s="870"/>
      <c r="O869" s="870"/>
      <c r="P869" s="870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73"/>
      <c r="E870" s="677"/>
      <c r="F870" s="677"/>
      <c r="G870" s="677"/>
      <c r="H870" s="872"/>
      <c r="I870" s="871"/>
      <c r="J870" s="871"/>
      <c r="K870" s="870"/>
      <c r="L870" s="870"/>
      <c r="M870" s="870"/>
      <c r="N870" s="870"/>
      <c r="O870" s="870"/>
      <c r="P870" s="870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73"/>
      <c r="E871" s="677"/>
      <c r="F871" s="677"/>
      <c r="G871" s="677"/>
      <c r="H871" s="872"/>
      <c r="I871" s="871"/>
      <c r="J871" s="871"/>
      <c r="K871" s="870"/>
      <c r="L871" s="870"/>
      <c r="M871" s="870"/>
      <c r="N871" s="870"/>
      <c r="O871" s="870"/>
      <c r="P871" s="870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73"/>
      <c r="E872" s="677"/>
      <c r="F872" s="677"/>
      <c r="G872" s="677"/>
      <c r="H872" s="872"/>
      <c r="I872" s="871"/>
      <c r="J872" s="871"/>
      <c r="K872" s="870"/>
      <c r="L872" s="870"/>
      <c r="M872" s="870"/>
      <c r="N872" s="870"/>
      <c r="O872" s="870"/>
      <c r="P872" s="870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73"/>
      <c r="E873" s="677"/>
      <c r="F873" s="677"/>
      <c r="G873" s="677"/>
      <c r="H873" s="872"/>
      <c r="I873" s="871"/>
      <c r="J873" s="871"/>
      <c r="K873" s="870"/>
      <c r="L873" s="870"/>
      <c r="M873" s="870"/>
      <c r="N873" s="870"/>
      <c r="O873" s="870"/>
      <c r="P873" s="870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73"/>
      <c r="E874" s="677"/>
      <c r="F874" s="677"/>
      <c r="G874" s="677"/>
      <c r="H874" s="872"/>
      <c r="I874" s="871"/>
      <c r="J874" s="871"/>
      <c r="K874" s="870"/>
      <c r="L874" s="870"/>
      <c r="M874" s="870"/>
      <c r="N874" s="870"/>
      <c r="O874" s="870"/>
      <c r="P874" s="870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73"/>
      <c r="E875" s="677"/>
      <c r="F875" s="677"/>
      <c r="G875" s="677"/>
      <c r="H875" s="872"/>
      <c r="I875" s="871"/>
      <c r="J875" s="871"/>
      <c r="K875" s="870"/>
      <c r="L875" s="870"/>
      <c r="M875" s="870"/>
      <c r="N875" s="870"/>
      <c r="O875" s="870"/>
      <c r="P875" s="870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73"/>
      <c r="E876" s="677"/>
      <c r="F876" s="677"/>
      <c r="G876" s="677"/>
      <c r="H876" s="872"/>
      <c r="I876" s="871"/>
      <c r="J876" s="871"/>
      <c r="K876" s="870"/>
      <c r="L876" s="870"/>
      <c r="M876" s="870"/>
      <c r="N876" s="870"/>
      <c r="O876" s="870"/>
      <c r="P876" s="870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73"/>
      <c r="E877" s="677"/>
      <c r="F877" s="677"/>
      <c r="G877" s="677"/>
      <c r="H877" s="872"/>
      <c r="I877" s="871"/>
      <c r="J877" s="871"/>
      <c r="K877" s="870"/>
      <c r="L877" s="870"/>
      <c r="M877" s="870"/>
      <c r="N877" s="870"/>
      <c r="O877" s="870"/>
      <c r="P877" s="870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73"/>
      <c r="E878" s="677"/>
      <c r="F878" s="677"/>
      <c r="G878" s="677"/>
      <c r="H878" s="872"/>
      <c r="I878" s="871"/>
      <c r="J878" s="871"/>
      <c r="K878" s="870"/>
      <c r="L878" s="870"/>
      <c r="M878" s="870"/>
      <c r="N878" s="870"/>
      <c r="O878" s="870"/>
      <c r="P878" s="870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73"/>
      <c r="E879" s="677"/>
      <c r="F879" s="677"/>
      <c r="G879" s="677"/>
      <c r="H879" s="872"/>
      <c r="I879" s="871"/>
      <c r="J879" s="871"/>
      <c r="K879" s="870"/>
      <c r="L879" s="870"/>
      <c r="M879" s="870"/>
      <c r="N879" s="870"/>
      <c r="O879" s="870"/>
      <c r="P879" s="870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73"/>
      <c r="E880" s="677"/>
      <c r="F880" s="677"/>
      <c r="G880" s="677"/>
      <c r="H880" s="872"/>
      <c r="I880" s="871"/>
      <c r="J880" s="871"/>
      <c r="K880" s="870"/>
      <c r="L880" s="870"/>
      <c r="M880" s="870"/>
      <c r="N880" s="870"/>
      <c r="O880" s="870"/>
      <c r="P880" s="870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73"/>
      <c r="E881" s="677"/>
      <c r="F881" s="677"/>
      <c r="G881" s="677"/>
      <c r="H881" s="872"/>
      <c r="I881" s="871"/>
      <c r="J881" s="871"/>
      <c r="K881" s="870"/>
      <c r="L881" s="870"/>
      <c r="M881" s="870"/>
      <c r="N881" s="870"/>
      <c r="O881" s="870"/>
      <c r="P881" s="870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73"/>
      <c r="E882" s="677"/>
      <c r="F882" s="677"/>
      <c r="G882" s="677"/>
      <c r="H882" s="872"/>
      <c r="I882" s="871"/>
      <c r="J882" s="871"/>
      <c r="K882" s="870"/>
      <c r="L882" s="870"/>
      <c r="M882" s="870"/>
      <c r="N882" s="870"/>
      <c r="O882" s="870"/>
      <c r="P882" s="870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73"/>
      <c r="E883" s="677"/>
      <c r="F883" s="677"/>
      <c r="G883" s="677"/>
      <c r="H883" s="872"/>
      <c r="I883" s="871"/>
      <c r="J883" s="871"/>
      <c r="K883" s="870"/>
      <c r="L883" s="870"/>
      <c r="M883" s="870"/>
      <c r="N883" s="870"/>
      <c r="O883" s="870"/>
      <c r="P883" s="870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73"/>
      <c r="E884" s="677"/>
      <c r="F884" s="677"/>
      <c r="G884" s="677"/>
      <c r="H884" s="872"/>
      <c r="I884" s="871"/>
      <c r="J884" s="871"/>
      <c r="K884" s="870"/>
      <c r="L884" s="870"/>
      <c r="M884" s="870"/>
      <c r="N884" s="870"/>
      <c r="O884" s="870"/>
      <c r="P884" s="870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73"/>
      <c r="E885" s="677"/>
      <c r="F885" s="677"/>
      <c r="G885" s="677"/>
      <c r="H885" s="872"/>
      <c r="I885" s="871"/>
      <c r="J885" s="871"/>
      <c r="K885" s="870"/>
      <c r="L885" s="870"/>
      <c r="M885" s="870"/>
      <c r="N885" s="870"/>
      <c r="O885" s="870"/>
      <c r="P885" s="870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73"/>
      <c r="E886" s="677"/>
      <c r="F886" s="677"/>
      <c r="G886" s="677"/>
      <c r="H886" s="872"/>
      <c r="I886" s="871"/>
      <c r="J886" s="871"/>
      <c r="K886" s="870"/>
      <c r="L886" s="870"/>
      <c r="M886" s="870"/>
      <c r="N886" s="870"/>
      <c r="O886" s="870"/>
      <c r="P886" s="870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73"/>
      <c r="E887" s="677"/>
      <c r="F887" s="677"/>
      <c r="G887" s="677"/>
      <c r="H887" s="872"/>
      <c r="I887" s="871"/>
      <c r="J887" s="871"/>
      <c r="K887" s="870"/>
      <c r="L887" s="870"/>
      <c r="M887" s="870"/>
      <c r="N887" s="870"/>
      <c r="O887" s="870"/>
      <c r="P887" s="870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73"/>
      <c r="E888" s="677"/>
      <c r="F888" s="677"/>
      <c r="G888" s="677"/>
      <c r="H888" s="872"/>
      <c r="I888" s="871"/>
      <c r="J888" s="871"/>
      <c r="K888" s="870"/>
      <c r="L888" s="870"/>
      <c r="M888" s="870"/>
      <c r="N888" s="870"/>
      <c r="O888" s="870"/>
      <c r="P888" s="870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73"/>
      <c r="E889" s="677"/>
      <c r="F889" s="677"/>
      <c r="G889" s="677"/>
      <c r="H889" s="872"/>
      <c r="I889" s="871"/>
      <c r="J889" s="871"/>
      <c r="K889" s="870"/>
      <c r="L889" s="870"/>
      <c r="M889" s="870"/>
      <c r="N889" s="870"/>
      <c r="O889" s="870"/>
      <c r="P889" s="870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73"/>
      <c r="E890" s="677"/>
      <c r="F890" s="677"/>
      <c r="G890" s="677"/>
      <c r="H890" s="872"/>
      <c r="I890" s="871"/>
      <c r="J890" s="871"/>
      <c r="K890" s="870"/>
      <c r="L890" s="870"/>
      <c r="M890" s="870"/>
      <c r="N890" s="870"/>
      <c r="O890" s="870"/>
      <c r="P890" s="870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73"/>
      <c r="E891" s="677"/>
      <c r="F891" s="677"/>
      <c r="G891" s="677"/>
      <c r="H891" s="872"/>
      <c r="I891" s="871"/>
      <c r="J891" s="871"/>
      <c r="K891" s="870"/>
      <c r="L891" s="870"/>
      <c r="M891" s="870"/>
      <c r="N891" s="870"/>
      <c r="O891" s="870"/>
      <c r="P891" s="870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73"/>
      <c r="E892" s="677"/>
      <c r="F892" s="677"/>
      <c r="G892" s="677"/>
      <c r="H892" s="872"/>
      <c r="I892" s="871"/>
      <c r="J892" s="871"/>
      <c r="K892" s="870"/>
      <c r="L892" s="870"/>
      <c r="M892" s="870"/>
      <c r="N892" s="870"/>
      <c r="O892" s="870"/>
      <c r="P892" s="870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73"/>
      <c r="E893" s="677"/>
      <c r="F893" s="677"/>
      <c r="G893" s="677"/>
      <c r="H893" s="872"/>
      <c r="I893" s="871"/>
      <c r="J893" s="871"/>
      <c r="K893" s="870"/>
      <c r="L893" s="870"/>
      <c r="M893" s="870"/>
      <c r="N893" s="870"/>
      <c r="O893" s="870"/>
      <c r="P893" s="870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73"/>
      <c r="E894" s="677"/>
      <c r="F894" s="677"/>
      <c r="G894" s="677"/>
      <c r="H894" s="872"/>
      <c r="I894" s="871"/>
      <c r="J894" s="871"/>
      <c r="K894" s="870"/>
      <c r="L894" s="870"/>
      <c r="M894" s="870"/>
      <c r="N894" s="870"/>
      <c r="O894" s="870"/>
      <c r="P894" s="870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73"/>
      <c r="E895" s="677"/>
      <c r="F895" s="677"/>
      <c r="G895" s="677"/>
      <c r="H895" s="872"/>
      <c r="I895" s="871"/>
      <c r="J895" s="871"/>
      <c r="K895" s="870"/>
      <c r="L895" s="870"/>
      <c r="M895" s="870"/>
      <c r="N895" s="870"/>
      <c r="O895" s="870"/>
      <c r="P895" s="870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73"/>
      <c r="E896" s="677"/>
      <c r="F896" s="677"/>
      <c r="G896" s="677"/>
      <c r="H896" s="872"/>
      <c r="I896" s="871"/>
      <c r="J896" s="871"/>
      <c r="K896" s="870"/>
      <c r="L896" s="870"/>
      <c r="M896" s="870"/>
      <c r="N896" s="870"/>
      <c r="O896" s="870"/>
      <c r="P896" s="870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73"/>
      <c r="E897" s="677"/>
      <c r="F897" s="677"/>
      <c r="G897" s="677"/>
      <c r="H897" s="872"/>
      <c r="I897" s="871"/>
      <c r="J897" s="871"/>
      <c r="K897" s="870"/>
      <c r="L897" s="870"/>
      <c r="M897" s="870"/>
      <c r="N897" s="870"/>
      <c r="O897" s="870"/>
      <c r="P897" s="870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73"/>
      <c r="E898" s="677"/>
      <c r="F898" s="677"/>
      <c r="G898" s="677"/>
      <c r="H898" s="872"/>
      <c r="I898" s="871"/>
      <c r="J898" s="871"/>
      <c r="K898" s="870"/>
      <c r="L898" s="870"/>
      <c r="M898" s="870"/>
      <c r="N898" s="870"/>
      <c r="O898" s="870"/>
      <c r="P898" s="870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73"/>
      <c r="E899" s="677"/>
      <c r="F899" s="677"/>
      <c r="G899" s="677"/>
      <c r="H899" s="872"/>
      <c r="I899" s="871"/>
      <c r="J899" s="871"/>
      <c r="K899" s="870"/>
      <c r="L899" s="870"/>
      <c r="M899" s="870"/>
      <c r="N899" s="870"/>
      <c r="O899" s="870"/>
      <c r="P899" s="870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73"/>
      <c r="E900" s="677"/>
      <c r="F900" s="677"/>
      <c r="G900" s="677"/>
      <c r="H900" s="872"/>
      <c r="I900" s="871"/>
      <c r="J900" s="871"/>
      <c r="K900" s="870"/>
      <c r="L900" s="870"/>
      <c r="M900" s="870"/>
      <c r="N900" s="870"/>
      <c r="O900" s="870"/>
      <c r="P900" s="870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73"/>
      <c r="E901" s="677"/>
      <c r="F901" s="677"/>
      <c r="G901" s="677"/>
      <c r="H901" s="872"/>
      <c r="I901" s="871"/>
      <c r="J901" s="871"/>
      <c r="K901" s="870"/>
      <c r="L901" s="870"/>
      <c r="M901" s="870"/>
      <c r="N901" s="870"/>
      <c r="O901" s="870"/>
      <c r="P901" s="870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73"/>
      <c r="E902" s="677"/>
      <c r="F902" s="677"/>
      <c r="G902" s="677"/>
      <c r="H902" s="872"/>
      <c r="I902" s="871"/>
      <c r="J902" s="871"/>
      <c r="K902" s="870"/>
      <c r="L902" s="870"/>
      <c r="M902" s="870"/>
      <c r="N902" s="870"/>
      <c r="O902" s="870"/>
      <c r="P902" s="870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73"/>
      <c r="E903" s="677"/>
      <c r="F903" s="677"/>
      <c r="G903" s="677"/>
      <c r="H903" s="872"/>
      <c r="I903" s="871"/>
      <c r="J903" s="871"/>
      <c r="K903" s="870"/>
      <c r="L903" s="870"/>
      <c r="M903" s="870"/>
      <c r="N903" s="870"/>
      <c r="O903" s="870"/>
      <c r="P903" s="870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73"/>
      <c r="E904" s="677"/>
      <c r="F904" s="677"/>
      <c r="G904" s="677"/>
      <c r="H904" s="872"/>
      <c r="I904" s="871"/>
      <c r="J904" s="871"/>
      <c r="K904" s="870"/>
      <c r="L904" s="870"/>
      <c r="M904" s="870"/>
      <c r="N904" s="870"/>
      <c r="O904" s="870"/>
      <c r="P904" s="870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73"/>
      <c r="E905" s="677"/>
      <c r="F905" s="677"/>
      <c r="G905" s="677"/>
      <c r="H905" s="872"/>
      <c r="I905" s="871"/>
      <c r="J905" s="871"/>
      <c r="K905" s="870"/>
      <c r="L905" s="870"/>
      <c r="M905" s="870"/>
      <c r="N905" s="870"/>
      <c r="O905" s="870"/>
      <c r="P905" s="870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73"/>
      <c r="E906" s="677"/>
      <c r="F906" s="677"/>
      <c r="G906" s="677"/>
      <c r="H906" s="872"/>
      <c r="I906" s="871"/>
      <c r="J906" s="871"/>
      <c r="K906" s="870"/>
      <c r="L906" s="870"/>
      <c r="M906" s="870"/>
      <c r="N906" s="870"/>
      <c r="O906" s="870"/>
      <c r="P906" s="870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73"/>
      <c r="E907" s="677"/>
      <c r="F907" s="677"/>
      <c r="G907" s="677"/>
      <c r="H907" s="872"/>
      <c r="I907" s="871"/>
      <c r="J907" s="871"/>
      <c r="K907" s="870"/>
      <c r="L907" s="870"/>
      <c r="M907" s="870"/>
      <c r="N907" s="870"/>
      <c r="O907" s="870"/>
      <c r="P907" s="870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73"/>
      <c r="E908" s="677"/>
      <c r="F908" s="677"/>
      <c r="G908" s="677"/>
      <c r="H908" s="872"/>
      <c r="I908" s="871"/>
      <c r="J908" s="871"/>
      <c r="K908" s="870"/>
      <c r="L908" s="870"/>
      <c r="M908" s="870"/>
      <c r="N908" s="870"/>
      <c r="O908" s="870"/>
      <c r="P908" s="870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73"/>
      <c r="E909" s="677"/>
      <c r="F909" s="677"/>
      <c r="G909" s="677"/>
      <c r="H909" s="872"/>
      <c r="I909" s="871"/>
      <c r="J909" s="871"/>
      <c r="K909" s="870"/>
      <c r="L909" s="870"/>
      <c r="M909" s="870"/>
      <c r="N909" s="870"/>
      <c r="O909" s="870"/>
      <c r="P909" s="870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73"/>
      <c r="E910" s="677"/>
      <c r="F910" s="677"/>
      <c r="G910" s="677"/>
      <c r="H910" s="872"/>
      <c r="I910" s="871"/>
      <c r="J910" s="871"/>
      <c r="K910" s="870"/>
      <c r="L910" s="870"/>
      <c r="M910" s="870"/>
      <c r="N910" s="870"/>
      <c r="O910" s="870"/>
      <c r="P910" s="870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73"/>
      <c r="E911" s="677"/>
      <c r="F911" s="677"/>
      <c r="G911" s="677"/>
      <c r="H911" s="872"/>
      <c r="I911" s="871"/>
      <c r="J911" s="871"/>
      <c r="K911" s="870"/>
      <c r="L911" s="870"/>
      <c r="M911" s="870"/>
      <c r="N911" s="870"/>
      <c r="O911" s="870"/>
      <c r="P911" s="870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73"/>
      <c r="E912" s="677"/>
      <c r="F912" s="677"/>
      <c r="G912" s="677"/>
      <c r="H912" s="872"/>
      <c r="I912" s="871"/>
      <c r="J912" s="871"/>
      <c r="K912" s="870"/>
      <c r="L912" s="870"/>
      <c r="M912" s="870"/>
      <c r="N912" s="870"/>
      <c r="O912" s="870"/>
      <c r="P912" s="870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73"/>
      <c r="E913" s="677"/>
      <c r="F913" s="677"/>
      <c r="G913" s="677"/>
      <c r="H913" s="872"/>
      <c r="I913" s="871"/>
      <c r="J913" s="871"/>
      <c r="K913" s="870"/>
      <c r="L913" s="870"/>
      <c r="M913" s="870"/>
      <c r="N913" s="870"/>
      <c r="O913" s="870"/>
      <c r="P913" s="870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73"/>
      <c r="E914" s="677"/>
      <c r="F914" s="677"/>
      <c r="G914" s="677"/>
      <c r="H914" s="872"/>
      <c r="I914" s="871"/>
      <c r="J914" s="871"/>
      <c r="K914" s="870"/>
      <c r="L914" s="870"/>
      <c r="M914" s="870"/>
      <c r="N914" s="870"/>
      <c r="O914" s="870"/>
      <c r="P914" s="870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73"/>
      <c r="E915" s="677"/>
      <c r="F915" s="677"/>
      <c r="G915" s="677"/>
      <c r="H915" s="872"/>
      <c r="I915" s="871"/>
      <c r="J915" s="871"/>
      <c r="K915" s="870"/>
      <c r="L915" s="870"/>
      <c r="M915" s="870"/>
      <c r="N915" s="870"/>
      <c r="O915" s="870"/>
      <c r="P915" s="870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73"/>
      <c r="E916" s="677"/>
      <c r="F916" s="677"/>
      <c r="G916" s="677"/>
      <c r="H916" s="872"/>
      <c r="I916" s="871"/>
      <c r="J916" s="871"/>
      <c r="K916" s="870"/>
      <c r="L916" s="870"/>
      <c r="M916" s="870"/>
      <c r="N916" s="870"/>
      <c r="O916" s="870"/>
      <c r="P916" s="870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73"/>
      <c r="E917" s="677"/>
      <c r="F917" s="677"/>
      <c r="G917" s="677"/>
      <c r="H917" s="872"/>
      <c r="I917" s="871"/>
      <c r="J917" s="871"/>
      <c r="K917" s="870"/>
      <c r="L917" s="870"/>
      <c r="M917" s="870"/>
      <c r="N917" s="870"/>
      <c r="O917" s="870"/>
      <c r="P917" s="870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73"/>
      <c r="E918" s="677"/>
      <c r="F918" s="677"/>
      <c r="G918" s="677"/>
      <c r="H918" s="872"/>
      <c r="I918" s="871"/>
      <c r="J918" s="871"/>
      <c r="K918" s="870"/>
      <c r="L918" s="870"/>
      <c r="M918" s="870"/>
      <c r="N918" s="870"/>
      <c r="O918" s="870"/>
      <c r="P918" s="870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73"/>
      <c r="E919" s="677"/>
      <c r="F919" s="677"/>
      <c r="G919" s="677"/>
      <c r="H919" s="872"/>
      <c r="I919" s="871"/>
      <c r="J919" s="871"/>
      <c r="K919" s="870"/>
      <c r="L919" s="870"/>
      <c r="M919" s="870"/>
      <c r="N919" s="870"/>
      <c r="O919" s="870"/>
      <c r="P919" s="870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73"/>
      <c r="E920" s="677"/>
      <c r="F920" s="677"/>
      <c r="G920" s="677"/>
      <c r="H920" s="872"/>
      <c r="I920" s="871"/>
      <c r="J920" s="871"/>
      <c r="K920" s="870"/>
      <c r="L920" s="870"/>
      <c r="M920" s="870"/>
      <c r="N920" s="870"/>
      <c r="O920" s="870"/>
      <c r="P920" s="870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73"/>
      <c r="E921" s="677"/>
      <c r="F921" s="677"/>
      <c r="G921" s="677"/>
      <c r="H921" s="872"/>
      <c r="I921" s="871"/>
      <c r="J921" s="871"/>
      <c r="K921" s="870"/>
      <c r="L921" s="870"/>
      <c r="M921" s="870"/>
      <c r="N921" s="870"/>
      <c r="O921" s="870"/>
      <c r="P921" s="870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73"/>
      <c r="E922" s="677"/>
      <c r="F922" s="677"/>
      <c r="G922" s="677"/>
      <c r="H922" s="872"/>
      <c r="I922" s="871"/>
      <c r="J922" s="871"/>
      <c r="K922" s="870"/>
      <c r="L922" s="870"/>
      <c r="M922" s="870"/>
      <c r="N922" s="870"/>
      <c r="O922" s="870"/>
      <c r="P922" s="870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73"/>
      <c r="E923" s="677"/>
      <c r="F923" s="677"/>
      <c r="G923" s="677"/>
      <c r="H923" s="872"/>
      <c r="I923" s="871"/>
      <c r="J923" s="871"/>
      <c r="K923" s="870"/>
      <c r="L923" s="870"/>
      <c r="M923" s="870"/>
      <c r="N923" s="870"/>
      <c r="O923" s="870"/>
      <c r="P923" s="870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73"/>
      <c r="E924" s="677"/>
      <c r="F924" s="677"/>
      <c r="G924" s="677"/>
      <c r="H924" s="872"/>
      <c r="I924" s="871"/>
      <c r="J924" s="871"/>
      <c r="K924" s="870"/>
      <c r="L924" s="870"/>
      <c r="M924" s="870"/>
      <c r="N924" s="870"/>
      <c r="O924" s="870"/>
      <c r="P924" s="870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73"/>
      <c r="E925" s="677"/>
      <c r="F925" s="677"/>
      <c r="G925" s="677"/>
      <c r="H925" s="872"/>
      <c r="I925" s="871"/>
      <c r="J925" s="871"/>
      <c r="K925" s="870"/>
      <c r="L925" s="870"/>
      <c r="M925" s="870"/>
      <c r="N925" s="870"/>
      <c r="O925" s="870"/>
      <c r="P925" s="870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73"/>
      <c r="E926" s="677"/>
      <c r="F926" s="677"/>
      <c r="G926" s="677"/>
      <c r="H926" s="872"/>
      <c r="I926" s="871"/>
      <c r="J926" s="871"/>
      <c r="K926" s="870"/>
      <c r="L926" s="870"/>
      <c r="M926" s="870"/>
      <c r="N926" s="870"/>
      <c r="O926" s="870"/>
      <c r="P926" s="870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73"/>
      <c r="E927" s="677"/>
      <c r="F927" s="677"/>
      <c r="G927" s="677"/>
      <c r="H927" s="872"/>
      <c r="I927" s="871"/>
      <c r="J927" s="871"/>
      <c r="K927" s="870"/>
      <c r="L927" s="870"/>
      <c r="M927" s="870"/>
      <c r="N927" s="870"/>
      <c r="O927" s="870"/>
      <c r="P927" s="870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73"/>
      <c r="E928" s="677"/>
      <c r="F928" s="677"/>
      <c r="G928" s="677"/>
      <c r="H928" s="872"/>
      <c r="I928" s="871"/>
      <c r="J928" s="871"/>
      <c r="K928" s="870"/>
      <c r="L928" s="870"/>
      <c r="M928" s="870"/>
      <c r="N928" s="870"/>
      <c r="O928" s="870"/>
      <c r="P928" s="870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73"/>
      <c r="E929" s="677"/>
      <c r="F929" s="677"/>
      <c r="G929" s="677"/>
      <c r="H929" s="872"/>
      <c r="I929" s="871"/>
      <c r="J929" s="871"/>
      <c r="K929" s="870"/>
      <c r="L929" s="870"/>
      <c r="M929" s="870"/>
      <c r="N929" s="870"/>
      <c r="O929" s="870"/>
      <c r="P929" s="870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73"/>
      <c r="E930" s="677"/>
      <c r="F930" s="677"/>
      <c r="G930" s="677"/>
      <c r="H930" s="872"/>
      <c r="I930" s="871"/>
      <c r="J930" s="871"/>
      <c r="K930" s="870"/>
      <c r="L930" s="870"/>
      <c r="M930" s="870"/>
      <c r="N930" s="870"/>
      <c r="O930" s="870"/>
      <c r="P930" s="870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73"/>
      <c r="E931" s="677"/>
      <c r="F931" s="677"/>
      <c r="G931" s="677"/>
      <c r="H931" s="872"/>
      <c r="I931" s="871"/>
      <c r="J931" s="871"/>
      <c r="K931" s="870"/>
      <c r="L931" s="870"/>
      <c r="M931" s="870"/>
      <c r="N931" s="870"/>
      <c r="O931" s="870"/>
      <c r="P931" s="870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73"/>
      <c r="E932" s="677"/>
      <c r="F932" s="677"/>
      <c r="G932" s="677"/>
      <c r="H932" s="872"/>
      <c r="I932" s="871"/>
      <c r="J932" s="871"/>
      <c r="K932" s="870"/>
      <c r="L932" s="870"/>
      <c r="M932" s="870"/>
      <c r="N932" s="870"/>
      <c r="O932" s="870"/>
      <c r="P932" s="870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73"/>
      <c r="E933" s="677"/>
      <c r="F933" s="677"/>
      <c r="G933" s="677"/>
      <c r="H933" s="872"/>
      <c r="I933" s="871"/>
      <c r="J933" s="871"/>
      <c r="K933" s="870"/>
      <c r="L933" s="870"/>
      <c r="M933" s="870"/>
      <c r="N933" s="870"/>
      <c r="O933" s="870"/>
      <c r="P933" s="870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73"/>
      <c r="E934" s="677"/>
      <c r="F934" s="677"/>
      <c r="G934" s="677"/>
      <c r="H934" s="872"/>
      <c r="I934" s="871"/>
      <c r="J934" s="871"/>
      <c r="K934" s="870"/>
      <c r="L934" s="870"/>
      <c r="M934" s="870"/>
      <c r="N934" s="870"/>
      <c r="O934" s="870"/>
      <c r="P934" s="870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73"/>
      <c r="E935" s="677"/>
      <c r="F935" s="677"/>
      <c r="G935" s="677"/>
      <c r="H935" s="872"/>
      <c r="I935" s="871"/>
      <c r="J935" s="871"/>
      <c r="K935" s="870"/>
      <c r="L935" s="870"/>
      <c r="M935" s="870"/>
      <c r="N935" s="870"/>
      <c r="O935" s="870"/>
      <c r="P935" s="870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73"/>
      <c r="E936" s="677"/>
      <c r="F936" s="677"/>
      <c r="G936" s="677"/>
      <c r="H936" s="872"/>
      <c r="I936" s="871"/>
      <c r="J936" s="871"/>
      <c r="K936" s="870"/>
      <c r="L936" s="870"/>
      <c r="M936" s="870"/>
      <c r="N936" s="870"/>
      <c r="O936" s="870"/>
      <c r="P936" s="870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73"/>
      <c r="E937" s="677"/>
      <c r="F937" s="677"/>
      <c r="G937" s="677"/>
      <c r="H937" s="872"/>
      <c r="I937" s="871"/>
      <c r="J937" s="871"/>
      <c r="K937" s="870"/>
      <c r="L937" s="870"/>
      <c r="M937" s="870"/>
      <c r="N937" s="870"/>
      <c r="O937" s="870"/>
      <c r="P937" s="870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73"/>
      <c r="E938" s="677"/>
      <c r="F938" s="677"/>
      <c r="G938" s="677"/>
      <c r="H938" s="872"/>
      <c r="I938" s="871"/>
      <c r="J938" s="871"/>
      <c r="K938" s="870"/>
      <c r="L938" s="870"/>
      <c r="M938" s="870"/>
      <c r="N938" s="870"/>
      <c r="O938" s="870"/>
      <c r="P938" s="870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73"/>
      <c r="E939" s="677"/>
      <c r="F939" s="677"/>
      <c r="G939" s="677"/>
      <c r="H939" s="872"/>
      <c r="I939" s="871"/>
      <c r="J939" s="871"/>
      <c r="K939" s="870"/>
      <c r="L939" s="870"/>
      <c r="M939" s="870"/>
      <c r="N939" s="870"/>
      <c r="O939" s="870"/>
      <c r="P939" s="870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73"/>
      <c r="E940" s="677"/>
      <c r="F940" s="677"/>
      <c r="G940" s="677"/>
      <c r="H940" s="872"/>
      <c r="I940" s="871"/>
      <c r="J940" s="871"/>
      <c r="K940" s="870"/>
      <c r="L940" s="870"/>
      <c r="M940" s="870"/>
      <c r="N940" s="870"/>
      <c r="O940" s="870"/>
      <c r="P940" s="870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73"/>
      <c r="E941" s="677"/>
      <c r="F941" s="677"/>
      <c r="G941" s="677"/>
      <c r="H941" s="872"/>
      <c r="I941" s="871"/>
      <c r="J941" s="871"/>
      <c r="K941" s="870"/>
      <c r="L941" s="870"/>
      <c r="M941" s="870"/>
      <c r="N941" s="870"/>
      <c r="O941" s="870"/>
      <c r="P941" s="870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73"/>
      <c r="E942" s="677"/>
      <c r="F942" s="677"/>
      <c r="G942" s="677"/>
      <c r="H942" s="872"/>
      <c r="I942" s="871"/>
      <c r="J942" s="871"/>
      <c r="K942" s="870"/>
      <c r="L942" s="870"/>
      <c r="M942" s="870"/>
      <c r="N942" s="870"/>
      <c r="O942" s="870"/>
      <c r="P942" s="870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73"/>
      <c r="E943" s="677"/>
      <c r="F943" s="677"/>
      <c r="G943" s="677"/>
      <c r="H943" s="872"/>
      <c r="I943" s="871"/>
      <c r="J943" s="871"/>
      <c r="K943" s="870"/>
      <c r="L943" s="870"/>
      <c r="M943" s="870"/>
      <c r="N943" s="870"/>
      <c r="O943" s="870"/>
      <c r="P943" s="870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73"/>
      <c r="E944" s="677"/>
      <c r="F944" s="677"/>
      <c r="G944" s="677"/>
      <c r="H944" s="872"/>
      <c r="I944" s="871"/>
      <c r="J944" s="871"/>
      <c r="K944" s="870"/>
      <c r="L944" s="870"/>
      <c r="M944" s="870"/>
      <c r="N944" s="870"/>
      <c r="O944" s="870"/>
      <c r="P944" s="870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73"/>
      <c r="E945" s="677"/>
      <c r="F945" s="677"/>
      <c r="G945" s="677"/>
      <c r="H945" s="872"/>
      <c r="I945" s="871"/>
      <c r="J945" s="871"/>
      <c r="K945" s="870"/>
      <c r="L945" s="870"/>
      <c r="M945" s="870"/>
      <c r="N945" s="870"/>
      <c r="O945" s="870"/>
      <c r="P945" s="870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73"/>
      <c r="E946" s="677"/>
      <c r="F946" s="677"/>
      <c r="G946" s="677"/>
      <c r="H946" s="872"/>
      <c r="I946" s="871"/>
      <c r="J946" s="871"/>
      <c r="K946" s="870"/>
      <c r="L946" s="870"/>
      <c r="M946" s="870"/>
      <c r="N946" s="870"/>
      <c r="O946" s="870"/>
      <c r="P946" s="870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73"/>
      <c r="E947" s="677"/>
      <c r="F947" s="677"/>
      <c r="G947" s="677"/>
      <c r="H947" s="872"/>
      <c r="I947" s="871"/>
      <c r="J947" s="871"/>
      <c r="K947" s="870"/>
      <c r="L947" s="870"/>
      <c r="M947" s="870"/>
      <c r="N947" s="870"/>
      <c r="O947" s="870"/>
      <c r="P947" s="870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73"/>
      <c r="E948" s="677"/>
      <c r="F948" s="677"/>
      <c r="G948" s="677"/>
      <c r="H948" s="872"/>
      <c r="I948" s="871"/>
      <c r="J948" s="871"/>
      <c r="K948" s="870"/>
      <c r="L948" s="870"/>
      <c r="M948" s="870"/>
      <c r="N948" s="870"/>
      <c r="O948" s="870"/>
      <c r="P948" s="870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73"/>
      <c r="E949" s="677"/>
      <c r="F949" s="677"/>
      <c r="G949" s="677"/>
      <c r="H949" s="872"/>
      <c r="I949" s="871"/>
      <c r="J949" s="871"/>
      <c r="K949" s="870"/>
      <c r="L949" s="870"/>
      <c r="M949" s="870"/>
      <c r="N949" s="870"/>
      <c r="O949" s="870"/>
      <c r="P949" s="870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73"/>
      <c r="E950" s="677"/>
      <c r="F950" s="677"/>
      <c r="G950" s="677"/>
      <c r="H950" s="872"/>
      <c r="I950" s="871"/>
      <c r="J950" s="871"/>
      <c r="K950" s="870"/>
      <c r="L950" s="870"/>
      <c r="M950" s="870"/>
      <c r="N950" s="870"/>
      <c r="O950" s="870"/>
      <c r="P950" s="870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73"/>
      <c r="E951" s="677"/>
      <c r="F951" s="677"/>
      <c r="G951" s="677"/>
      <c r="H951" s="872"/>
      <c r="I951" s="871"/>
      <c r="J951" s="871"/>
      <c r="K951" s="870"/>
      <c r="L951" s="870"/>
      <c r="M951" s="870"/>
      <c r="N951" s="870"/>
      <c r="O951" s="870"/>
      <c r="P951" s="870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73"/>
      <c r="E952" s="677"/>
      <c r="F952" s="677"/>
      <c r="G952" s="677"/>
      <c r="H952" s="872"/>
      <c r="I952" s="871"/>
      <c r="J952" s="871"/>
      <c r="K952" s="870"/>
      <c r="L952" s="870"/>
      <c r="M952" s="870"/>
      <c r="N952" s="870"/>
      <c r="O952" s="870"/>
      <c r="P952" s="870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73"/>
      <c r="E953" s="677"/>
      <c r="F953" s="677"/>
      <c r="G953" s="677"/>
      <c r="H953" s="872"/>
      <c r="I953" s="871"/>
      <c r="J953" s="871"/>
      <c r="K953" s="870"/>
      <c r="L953" s="870"/>
      <c r="M953" s="870"/>
      <c r="N953" s="870"/>
      <c r="O953" s="870"/>
      <c r="P953" s="870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73"/>
      <c r="E954" s="677"/>
      <c r="F954" s="677"/>
      <c r="G954" s="677"/>
      <c r="H954" s="872"/>
      <c r="I954" s="871"/>
      <c r="J954" s="871"/>
      <c r="K954" s="870"/>
      <c r="L954" s="870"/>
      <c r="M954" s="870"/>
      <c r="N954" s="870"/>
      <c r="O954" s="870"/>
      <c r="P954" s="870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73"/>
      <c r="E955" s="677"/>
      <c r="F955" s="677"/>
      <c r="G955" s="677"/>
      <c r="H955" s="872"/>
      <c r="I955" s="871"/>
      <c r="J955" s="871"/>
      <c r="K955" s="870"/>
      <c r="L955" s="870"/>
      <c r="M955" s="870"/>
      <c r="N955" s="870"/>
      <c r="O955" s="870"/>
      <c r="P955" s="870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73"/>
      <c r="E956" s="677"/>
      <c r="F956" s="677"/>
      <c r="G956" s="677"/>
      <c r="H956" s="872"/>
      <c r="I956" s="871"/>
      <c r="J956" s="871"/>
      <c r="K956" s="870"/>
      <c r="L956" s="870"/>
      <c r="M956" s="870"/>
      <c r="N956" s="870"/>
      <c r="O956" s="870"/>
      <c r="P956" s="870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73"/>
      <c r="E957" s="677"/>
      <c r="F957" s="677"/>
      <c r="G957" s="677"/>
      <c r="H957" s="872"/>
      <c r="I957" s="871"/>
      <c r="J957" s="871"/>
      <c r="K957" s="870"/>
      <c r="L957" s="870"/>
      <c r="M957" s="870"/>
      <c r="N957" s="870"/>
      <c r="O957" s="870"/>
      <c r="P957" s="870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73"/>
      <c r="E958" s="677"/>
      <c r="F958" s="677"/>
      <c r="G958" s="677"/>
      <c r="H958" s="872"/>
      <c r="I958" s="871"/>
      <c r="J958" s="871"/>
      <c r="K958" s="870"/>
      <c r="L958" s="870"/>
      <c r="M958" s="870"/>
      <c r="N958" s="870"/>
      <c r="O958" s="870"/>
      <c r="P958" s="870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73"/>
      <c r="E959" s="677"/>
      <c r="F959" s="677"/>
      <c r="G959" s="677"/>
      <c r="H959" s="872"/>
      <c r="I959" s="871"/>
      <c r="J959" s="871"/>
      <c r="K959" s="870"/>
      <c r="L959" s="870"/>
      <c r="M959" s="870"/>
      <c r="N959" s="870"/>
      <c r="O959" s="870"/>
      <c r="P959" s="870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73"/>
      <c r="E960" s="677"/>
      <c r="F960" s="677"/>
      <c r="G960" s="677"/>
      <c r="H960" s="872"/>
      <c r="I960" s="871"/>
      <c r="J960" s="871"/>
      <c r="K960" s="870"/>
      <c r="L960" s="870"/>
      <c r="M960" s="870"/>
      <c r="N960" s="870"/>
      <c r="O960" s="870"/>
      <c r="P960" s="870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73"/>
      <c r="E961" s="677"/>
      <c r="F961" s="677"/>
      <c r="G961" s="677"/>
      <c r="H961" s="872"/>
      <c r="I961" s="871"/>
      <c r="J961" s="871"/>
      <c r="K961" s="870"/>
      <c r="L961" s="870"/>
      <c r="M961" s="870"/>
      <c r="N961" s="870"/>
      <c r="O961" s="870"/>
      <c r="P961" s="870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73"/>
      <c r="E962" s="677"/>
      <c r="F962" s="677"/>
      <c r="G962" s="677"/>
      <c r="H962" s="872"/>
      <c r="I962" s="871"/>
      <c r="J962" s="871"/>
      <c r="K962" s="870"/>
      <c r="L962" s="870"/>
      <c r="M962" s="870"/>
      <c r="N962" s="870"/>
      <c r="O962" s="870"/>
      <c r="P962" s="870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73"/>
      <c r="E963" s="677"/>
      <c r="F963" s="677"/>
      <c r="G963" s="677"/>
      <c r="H963" s="872"/>
      <c r="I963" s="871"/>
      <c r="J963" s="871"/>
      <c r="K963" s="870"/>
      <c r="L963" s="870"/>
      <c r="M963" s="870"/>
      <c r="N963" s="870"/>
      <c r="O963" s="870"/>
      <c r="P963" s="870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73"/>
      <c r="E964" s="677"/>
      <c r="F964" s="677"/>
      <c r="G964" s="677"/>
      <c r="H964" s="872"/>
      <c r="I964" s="871"/>
      <c r="J964" s="871"/>
      <c r="K964" s="870"/>
      <c r="L964" s="870"/>
      <c r="M964" s="870"/>
      <c r="N964" s="870"/>
      <c r="O964" s="870"/>
      <c r="P964" s="870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73"/>
      <c r="E965" s="677"/>
      <c r="F965" s="677"/>
      <c r="G965" s="677"/>
      <c r="H965" s="872"/>
      <c r="I965" s="871"/>
      <c r="J965" s="871"/>
      <c r="K965" s="870"/>
      <c r="L965" s="870"/>
      <c r="M965" s="870"/>
      <c r="N965" s="870"/>
      <c r="O965" s="870"/>
      <c r="P965" s="870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73"/>
      <c r="E966" s="677"/>
      <c r="F966" s="677"/>
      <c r="G966" s="677"/>
      <c r="H966" s="872"/>
      <c r="I966" s="871"/>
      <c r="J966" s="871"/>
      <c r="K966" s="870"/>
      <c r="L966" s="870"/>
      <c r="M966" s="870"/>
      <c r="N966" s="870"/>
      <c r="O966" s="870"/>
      <c r="P966" s="870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73"/>
      <c r="E967" s="677"/>
      <c r="F967" s="677"/>
      <c r="G967" s="677"/>
      <c r="H967" s="872"/>
      <c r="I967" s="871"/>
      <c r="J967" s="871"/>
      <c r="K967" s="870"/>
      <c r="L967" s="870"/>
      <c r="M967" s="870"/>
      <c r="N967" s="870"/>
      <c r="O967" s="870"/>
      <c r="P967" s="870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73"/>
      <c r="E968" s="677"/>
      <c r="F968" s="677"/>
      <c r="G968" s="677"/>
      <c r="H968" s="872"/>
      <c r="I968" s="871"/>
      <c r="J968" s="871"/>
      <c r="K968" s="870"/>
      <c r="L968" s="870"/>
      <c r="M968" s="870"/>
      <c r="N968" s="870"/>
      <c r="O968" s="870"/>
      <c r="P968" s="870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73"/>
      <c r="E969" s="677"/>
      <c r="F969" s="677"/>
      <c r="G969" s="677"/>
      <c r="H969" s="872"/>
      <c r="I969" s="871"/>
      <c r="J969" s="871"/>
      <c r="K969" s="870"/>
      <c r="L969" s="870"/>
      <c r="M969" s="870"/>
      <c r="N969" s="870"/>
      <c r="O969" s="870"/>
      <c r="P969" s="870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73"/>
      <c r="E970" s="677"/>
      <c r="F970" s="677"/>
      <c r="G970" s="677"/>
      <c r="H970" s="872"/>
      <c r="I970" s="871"/>
      <c r="J970" s="871"/>
      <c r="K970" s="870"/>
      <c r="L970" s="870"/>
      <c r="M970" s="870"/>
      <c r="N970" s="870"/>
      <c r="O970" s="870"/>
      <c r="P970" s="870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73"/>
      <c r="E971" s="677"/>
      <c r="F971" s="677"/>
      <c r="G971" s="677"/>
      <c r="H971" s="872"/>
      <c r="I971" s="871"/>
      <c r="J971" s="871"/>
      <c r="K971" s="870"/>
      <c r="L971" s="870"/>
      <c r="M971" s="870"/>
      <c r="N971" s="870"/>
      <c r="O971" s="870"/>
      <c r="P971" s="870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73"/>
      <c r="E972" s="677"/>
      <c r="F972" s="677"/>
      <c r="G972" s="677"/>
      <c r="H972" s="872"/>
      <c r="I972" s="871"/>
      <c r="J972" s="871"/>
      <c r="K972" s="870"/>
      <c r="L972" s="870"/>
      <c r="M972" s="870"/>
      <c r="N972" s="870"/>
      <c r="O972" s="870"/>
      <c r="P972" s="870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73"/>
      <c r="E973" s="677"/>
      <c r="F973" s="677"/>
      <c r="G973" s="677"/>
      <c r="H973" s="872"/>
      <c r="I973" s="871"/>
      <c r="J973" s="871"/>
      <c r="K973" s="870"/>
      <c r="L973" s="870"/>
      <c r="M973" s="870"/>
      <c r="N973" s="870"/>
      <c r="O973" s="870"/>
      <c r="P973" s="870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73"/>
      <c r="E974" s="677"/>
      <c r="F974" s="677"/>
      <c r="G974" s="677"/>
      <c r="H974" s="872"/>
      <c r="I974" s="871"/>
      <c r="J974" s="871"/>
      <c r="K974" s="870"/>
      <c r="L974" s="870"/>
      <c r="M974" s="870"/>
      <c r="N974" s="870"/>
      <c r="O974" s="870"/>
      <c r="P974" s="870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73"/>
      <c r="E975" s="677"/>
      <c r="F975" s="677"/>
      <c r="G975" s="677"/>
      <c r="H975" s="872"/>
      <c r="I975" s="871"/>
      <c r="J975" s="871"/>
      <c r="K975" s="870"/>
      <c r="L975" s="870"/>
      <c r="M975" s="870"/>
      <c r="N975" s="870"/>
      <c r="O975" s="870"/>
      <c r="P975" s="870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73"/>
      <c r="E976" s="677"/>
      <c r="F976" s="677"/>
      <c r="G976" s="677"/>
      <c r="H976" s="872"/>
      <c r="I976" s="871"/>
      <c r="J976" s="871"/>
      <c r="K976" s="870"/>
      <c r="L976" s="870"/>
      <c r="M976" s="870"/>
      <c r="N976" s="870"/>
      <c r="O976" s="870"/>
      <c r="P976" s="870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73"/>
      <c r="E977" s="677"/>
      <c r="F977" s="677"/>
      <c r="G977" s="677"/>
      <c r="H977" s="872"/>
      <c r="I977" s="871"/>
      <c r="J977" s="871"/>
      <c r="K977" s="870"/>
      <c r="L977" s="870"/>
      <c r="M977" s="870"/>
      <c r="N977" s="870"/>
      <c r="O977" s="870"/>
      <c r="P977" s="870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73"/>
      <c r="E978" s="677"/>
      <c r="F978" s="677"/>
      <c r="G978" s="677"/>
      <c r="H978" s="872"/>
      <c r="I978" s="871"/>
      <c r="J978" s="871"/>
      <c r="K978" s="870"/>
      <c r="L978" s="870"/>
      <c r="M978" s="870"/>
      <c r="N978" s="870"/>
      <c r="O978" s="870"/>
      <c r="P978" s="870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73"/>
      <c r="E979" s="677"/>
      <c r="F979" s="677"/>
      <c r="G979" s="677"/>
      <c r="H979" s="872"/>
      <c r="I979" s="871"/>
      <c r="J979" s="871"/>
      <c r="K979" s="870"/>
      <c r="L979" s="870"/>
      <c r="M979" s="870"/>
      <c r="N979" s="870"/>
      <c r="O979" s="870"/>
      <c r="P979" s="870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73"/>
      <c r="E980" s="677"/>
      <c r="F980" s="677"/>
      <c r="G980" s="677"/>
      <c r="H980" s="872"/>
      <c r="I980" s="871"/>
      <c r="J980" s="871"/>
      <c r="K980" s="870"/>
      <c r="L980" s="870"/>
      <c r="M980" s="870"/>
      <c r="N980" s="870"/>
      <c r="O980" s="870"/>
      <c r="P980" s="870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73"/>
      <c r="E981" s="677"/>
      <c r="F981" s="677"/>
      <c r="G981" s="677"/>
      <c r="H981" s="872"/>
      <c r="I981" s="871"/>
      <c r="J981" s="871"/>
      <c r="K981" s="870"/>
      <c r="L981" s="870"/>
      <c r="M981" s="870"/>
      <c r="N981" s="870"/>
      <c r="O981" s="870"/>
      <c r="P981" s="870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73"/>
      <c r="E982" s="677"/>
      <c r="F982" s="677"/>
      <c r="G982" s="677"/>
      <c r="H982" s="872"/>
      <c r="I982" s="871"/>
      <c r="J982" s="871"/>
      <c r="K982" s="870"/>
      <c r="L982" s="870"/>
      <c r="M982" s="870"/>
      <c r="N982" s="870"/>
      <c r="O982" s="870"/>
      <c r="P982" s="870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73"/>
      <c r="E983" s="677"/>
      <c r="F983" s="677"/>
      <c r="G983" s="677"/>
      <c r="H983" s="872"/>
      <c r="I983" s="871"/>
      <c r="J983" s="871"/>
      <c r="K983" s="870"/>
      <c r="L983" s="870"/>
      <c r="M983" s="870"/>
      <c r="N983" s="870"/>
      <c r="O983" s="870"/>
      <c r="P983" s="870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73"/>
      <c r="E984" s="677"/>
      <c r="F984" s="677"/>
      <c r="G984" s="677"/>
      <c r="H984" s="872"/>
      <c r="I984" s="871"/>
      <c r="J984" s="871"/>
      <c r="K984" s="870"/>
      <c r="L984" s="870"/>
      <c r="M984" s="870"/>
      <c r="N984" s="870"/>
      <c r="O984" s="870"/>
      <c r="P984" s="870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73"/>
      <c r="E985" s="677"/>
      <c r="F985" s="677"/>
      <c r="G985" s="677"/>
      <c r="H985" s="872"/>
      <c r="I985" s="871"/>
      <c r="J985" s="871"/>
      <c r="K985" s="870"/>
      <c r="L985" s="870"/>
      <c r="M985" s="870"/>
      <c r="N985" s="870"/>
      <c r="O985" s="870"/>
      <c r="P985" s="870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73"/>
      <c r="E986" s="677"/>
      <c r="F986" s="677"/>
      <c r="G986" s="677"/>
      <c r="H986" s="872"/>
      <c r="I986" s="871"/>
      <c r="J986" s="871"/>
      <c r="K986" s="870"/>
      <c r="L986" s="870"/>
      <c r="M986" s="870"/>
      <c r="N986" s="870"/>
      <c r="O986" s="870"/>
      <c r="P986" s="870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73"/>
      <c r="E987" s="677"/>
      <c r="F987" s="677"/>
      <c r="G987" s="677"/>
      <c r="H987" s="872"/>
      <c r="I987" s="871"/>
      <c r="J987" s="871"/>
      <c r="K987" s="870"/>
      <c r="L987" s="870"/>
      <c r="M987" s="870"/>
      <c r="N987" s="870"/>
      <c r="O987" s="870"/>
      <c r="P987" s="870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73"/>
      <c r="E988" s="677"/>
      <c r="F988" s="677"/>
      <c r="G988" s="677"/>
      <c r="H988" s="872"/>
      <c r="I988" s="871"/>
      <c r="J988" s="871"/>
      <c r="K988" s="870"/>
      <c r="L988" s="870"/>
      <c r="M988" s="870"/>
      <c r="N988" s="870"/>
      <c r="O988" s="870"/>
      <c r="P988" s="870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73"/>
      <c r="E989" s="677"/>
      <c r="F989" s="677"/>
      <c r="G989" s="677"/>
      <c r="H989" s="872"/>
      <c r="I989" s="871"/>
      <c r="J989" s="871"/>
      <c r="K989" s="870"/>
      <c r="L989" s="870"/>
      <c r="M989" s="870"/>
      <c r="N989" s="870"/>
      <c r="O989" s="870"/>
      <c r="P989" s="870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73"/>
      <c r="E990" s="677"/>
      <c r="F990" s="677"/>
      <c r="G990" s="677"/>
      <c r="H990" s="872"/>
      <c r="I990" s="871"/>
      <c r="J990" s="871"/>
      <c r="K990" s="870"/>
      <c r="L990" s="870"/>
      <c r="M990" s="870"/>
      <c r="N990" s="870"/>
      <c r="O990" s="870"/>
      <c r="P990" s="870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73"/>
      <c r="E991" s="677"/>
      <c r="F991" s="677"/>
      <c r="G991" s="677"/>
      <c r="H991" s="872"/>
      <c r="I991" s="871"/>
      <c r="J991" s="871"/>
      <c r="K991" s="870"/>
      <c r="L991" s="870"/>
      <c r="M991" s="870"/>
      <c r="N991" s="870"/>
      <c r="O991" s="870"/>
      <c r="P991" s="870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73"/>
      <c r="E992" s="677"/>
      <c r="F992" s="677"/>
      <c r="G992" s="677"/>
      <c r="H992" s="872"/>
      <c r="I992" s="871"/>
      <c r="J992" s="871"/>
      <c r="K992" s="870"/>
      <c r="L992" s="870"/>
      <c r="M992" s="870"/>
      <c r="N992" s="870"/>
      <c r="O992" s="870"/>
      <c r="P992" s="870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73"/>
      <c r="E993" s="677"/>
      <c r="F993" s="677"/>
      <c r="G993" s="677"/>
      <c r="H993" s="872"/>
      <c r="I993" s="871"/>
      <c r="J993" s="871"/>
      <c r="K993" s="870"/>
      <c r="L993" s="870"/>
      <c r="M993" s="870"/>
      <c r="N993" s="870"/>
      <c r="O993" s="870"/>
      <c r="P993" s="870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73"/>
      <c r="E994" s="677"/>
      <c r="F994" s="677"/>
      <c r="G994" s="677"/>
      <c r="H994" s="872"/>
      <c r="I994" s="871"/>
      <c r="J994" s="871"/>
      <c r="K994" s="870"/>
      <c r="L994" s="870"/>
      <c r="M994" s="870"/>
      <c r="N994" s="870"/>
      <c r="O994" s="870"/>
      <c r="P994" s="870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73"/>
      <c r="E995" s="677"/>
      <c r="F995" s="677"/>
      <c r="G995" s="677"/>
      <c r="H995" s="872"/>
      <c r="I995" s="871"/>
      <c r="J995" s="871"/>
      <c r="K995" s="870"/>
      <c r="L995" s="870"/>
      <c r="M995" s="870"/>
      <c r="N995" s="870"/>
      <c r="O995" s="870"/>
      <c r="P995" s="870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73"/>
      <c r="E996" s="677"/>
      <c r="F996" s="677"/>
      <c r="G996" s="677"/>
      <c r="H996" s="872"/>
      <c r="I996" s="871"/>
      <c r="J996" s="871"/>
      <c r="K996" s="870"/>
      <c r="L996" s="870"/>
      <c r="M996" s="870"/>
      <c r="N996" s="870"/>
      <c r="O996" s="870"/>
      <c r="P996" s="870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73"/>
      <c r="E997" s="677"/>
      <c r="F997" s="677"/>
      <c r="G997" s="677"/>
      <c r="H997" s="872"/>
      <c r="I997" s="871"/>
      <c r="J997" s="871"/>
      <c r="K997" s="870"/>
      <c r="L997" s="870"/>
      <c r="M997" s="870"/>
      <c r="N997" s="870"/>
      <c r="O997" s="870"/>
      <c r="P997" s="870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73"/>
      <c r="E998" s="677"/>
      <c r="F998" s="677"/>
      <c r="G998" s="677"/>
      <c r="H998" s="872"/>
      <c r="I998" s="871"/>
      <c r="J998" s="871"/>
      <c r="K998" s="870"/>
      <c r="L998" s="870"/>
      <c r="M998" s="870"/>
      <c r="N998" s="870"/>
      <c r="O998" s="870"/>
      <c r="P998" s="870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73"/>
      <c r="E999" s="677"/>
      <c r="F999" s="677"/>
      <c r="G999" s="677"/>
      <c r="H999" s="872"/>
      <c r="I999" s="871"/>
      <c r="J999" s="871"/>
      <c r="K999" s="870"/>
      <c r="L999" s="870"/>
      <c r="M999" s="870"/>
      <c r="N999" s="870"/>
      <c r="O999" s="870"/>
      <c r="P999" s="870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73"/>
      <c r="E1000" s="677"/>
      <c r="F1000" s="677"/>
      <c r="G1000" s="677"/>
      <c r="H1000" s="872"/>
      <c r="I1000" s="871"/>
      <c r="J1000" s="871"/>
      <c r="K1000" s="870"/>
      <c r="L1000" s="870"/>
      <c r="M1000" s="870"/>
      <c r="N1000" s="870"/>
      <c r="O1000" s="870"/>
      <c r="P1000" s="870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73"/>
      <c r="E1001" s="677"/>
      <c r="F1001" s="677"/>
      <c r="G1001" s="677"/>
      <c r="H1001" s="872"/>
      <c r="I1001" s="871"/>
      <c r="J1001" s="871"/>
      <c r="K1001" s="870"/>
      <c r="L1001" s="870"/>
      <c r="M1001" s="870"/>
      <c r="N1001" s="870"/>
      <c r="O1001" s="870"/>
      <c r="P1001" s="870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73"/>
      <c r="E1002" s="677"/>
      <c r="F1002" s="677"/>
      <c r="G1002" s="677"/>
      <c r="H1002" s="872"/>
      <c r="I1002" s="871"/>
      <c r="J1002" s="871"/>
      <c r="K1002" s="870"/>
      <c r="L1002" s="870"/>
      <c r="M1002" s="870"/>
      <c r="N1002" s="870"/>
      <c r="O1002" s="870"/>
      <c r="P1002" s="870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73"/>
      <c r="E1003" s="677"/>
      <c r="F1003" s="677"/>
      <c r="G1003" s="677"/>
      <c r="H1003" s="872"/>
      <c r="I1003" s="871"/>
      <c r="J1003" s="871"/>
      <c r="K1003" s="870"/>
      <c r="L1003" s="870"/>
      <c r="M1003" s="870"/>
      <c r="N1003" s="870"/>
      <c r="O1003" s="870"/>
      <c r="P1003" s="870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73"/>
      <c r="E1004" s="677"/>
      <c r="F1004" s="677"/>
      <c r="G1004" s="677"/>
      <c r="H1004" s="872"/>
      <c r="I1004" s="871"/>
      <c r="J1004" s="871"/>
      <c r="K1004" s="870"/>
      <c r="L1004" s="870"/>
      <c r="M1004" s="870"/>
      <c r="N1004" s="870"/>
      <c r="O1004" s="870"/>
      <c r="P1004" s="870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73"/>
      <c r="E1005" s="677"/>
      <c r="F1005" s="677"/>
      <c r="G1005" s="677"/>
      <c r="H1005" s="872"/>
      <c r="I1005" s="871"/>
      <c r="J1005" s="871"/>
      <c r="K1005" s="870"/>
      <c r="L1005" s="870"/>
      <c r="M1005" s="870"/>
      <c r="N1005" s="870"/>
      <c r="O1005" s="870"/>
      <c r="P1005" s="870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73"/>
      <c r="E1006" s="677"/>
      <c r="F1006" s="677"/>
      <c r="G1006" s="677"/>
      <c r="H1006" s="872"/>
      <c r="I1006" s="871"/>
      <c r="J1006" s="871"/>
      <c r="K1006" s="870"/>
      <c r="L1006" s="870"/>
      <c r="M1006" s="870"/>
      <c r="N1006" s="870"/>
      <c r="O1006" s="870"/>
      <c r="P1006" s="870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73"/>
      <c r="E1007" s="677"/>
      <c r="F1007" s="677"/>
      <c r="G1007" s="677"/>
      <c r="H1007" s="872"/>
      <c r="I1007" s="871"/>
      <c r="J1007" s="871"/>
      <c r="K1007" s="870"/>
      <c r="L1007" s="870"/>
      <c r="M1007" s="870"/>
      <c r="N1007" s="870"/>
      <c r="O1007" s="870"/>
      <c r="P1007" s="870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73"/>
      <c r="E1008" s="677"/>
      <c r="F1008" s="677"/>
      <c r="G1008" s="677"/>
      <c r="H1008" s="872"/>
      <c r="I1008" s="871"/>
      <c r="J1008" s="871"/>
      <c r="K1008" s="870"/>
      <c r="L1008" s="870"/>
      <c r="M1008" s="870"/>
      <c r="N1008" s="870"/>
      <c r="O1008" s="870"/>
      <c r="P1008" s="870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73"/>
      <c r="E1009" s="677"/>
      <c r="F1009" s="677"/>
      <c r="G1009" s="677"/>
      <c r="H1009" s="872"/>
      <c r="I1009" s="871"/>
      <c r="J1009" s="871"/>
      <c r="K1009" s="870"/>
      <c r="L1009" s="870"/>
      <c r="M1009" s="870"/>
      <c r="N1009" s="870"/>
      <c r="O1009" s="870"/>
      <c r="P1009" s="870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73"/>
      <c r="E1010" s="677"/>
      <c r="F1010" s="677"/>
      <c r="G1010" s="677"/>
      <c r="H1010" s="872"/>
      <c r="I1010" s="871"/>
      <c r="J1010" s="871"/>
      <c r="K1010" s="870"/>
      <c r="L1010" s="870"/>
      <c r="M1010" s="870"/>
      <c r="N1010" s="870"/>
      <c r="O1010" s="870"/>
      <c r="P1010" s="870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73"/>
      <c r="E1011" s="677"/>
      <c r="F1011" s="677"/>
      <c r="G1011" s="677"/>
      <c r="H1011" s="872"/>
      <c r="I1011" s="871"/>
      <c r="J1011" s="871"/>
      <c r="K1011" s="870"/>
      <c r="L1011" s="870"/>
      <c r="M1011" s="870"/>
      <c r="N1011" s="870"/>
      <c r="O1011" s="870"/>
      <c r="P1011" s="870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73"/>
      <c r="E1012" s="677"/>
      <c r="F1012" s="677"/>
      <c r="G1012" s="677"/>
      <c r="H1012" s="872"/>
      <c r="I1012" s="871"/>
      <c r="J1012" s="871"/>
      <c r="K1012" s="870"/>
      <c r="L1012" s="870"/>
      <c r="M1012" s="870"/>
      <c r="N1012" s="870"/>
      <c r="O1012" s="870"/>
      <c r="P1012" s="870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73"/>
      <c r="E1013" s="677"/>
      <c r="F1013" s="677"/>
      <c r="G1013" s="677"/>
      <c r="H1013" s="872"/>
      <c r="I1013" s="871"/>
      <c r="J1013" s="871"/>
      <c r="K1013" s="870"/>
      <c r="L1013" s="870"/>
      <c r="M1013" s="870"/>
      <c r="N1013" s="870"/>
      <c r="O1013" s="870"/>
      <c r="P1013" s="870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73"/>
      <c r="E1014" s="677"/>
      <c r="F1014" s="677"/>
      <c r="G1014" s="677"/>
      <c r="H1014" s="872"/>
      <c r="I1014" s="871"/>
      <c r="J1014" s="871"/>
      <c r="K1014" s="870"/>
      <c r="L1014" s="870"/>
      <c r="M1014" s="870"/>
      <c r="N1014" s="870"/>
      <c r="O1014" s="870"/>
      <c r="P1014" s="870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73"/>
      <c r="E1015" s="677"/>
      <c r="F1015" s="677"/>
      <c r="G1015" s="677"/>
      <c r="H1015" s="872"/>
      <c r="I1015" s="871"/>
      <c r="J1015" s="871"/>
      <c r="K1015" s="870"/>
      <c r="L1015" s="870"/>
      <c r="M1015" s="870"/>
      <c r="N1015" s="870"/>
      <c r="O1015" s="870"/>
      <c r="P1015" s="870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73"/>
      <c r="E1016" s="677"/>
      <c r="F1016" s="677"/>
      <c r="G1016" s="677"/>
      <c r="H1016" s="872"/>
      <c r="I1016" s="871"/>
      <c r="J1016" s="871"/>
      <c r="K1016" s="870"/>
      <c r="L1016" s="870"/>
      <c r="M1016" s="870"/>
      <c r="N1016" s="870"/>
      <c r="O1016" s="870"/>
      <c r="P1016" s="870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73"/>
      <c r="E1017" s="677"/>
      <c r="F1017" s="677"/>
      <c r="G1017" s="677"/>
      <c r="H1017" s="872"/>
      <c r="I1017" s="871"/>
      <c r="J1017" s="871"/>
      <c r="K1017" s="870"/>
      <c r="L1017" s="870"/>
      <c r="M1017" s="870"/>
      <c r="N1017" s="870"/>
      <c r="O1017" s="870"/>
      <c r="P1017" s="870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73"/>
      <c r="E1018" s="677"/>
      <c r="F1018" s="677"/>
      <c r="G1018" s="677"/>
      <c r="H1018" s="872"/>
      <c r="I1018" s="871"/>
      <c r="J1018" s="871"/>
      <c r="K1018" s="870"/>
      <c r="L1018" s="870"/>
      <c r="M1018" s="870"/>
      <c r="N1018" s="870"/>
      <c r="O1018" s="870"/>
      <c r="P1018" s="870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73"/>
      <c r="E1019" s="677"/>
      <c r="F1019" s="677"/>
      <c r="G1019" s="677"/>
      <c r="H1019" s="872"/>
      <c r="I1019" s="871"/>
      <c r="J1019" s="871"/>
      <c r="K1019" s="870"/>
      <c r="L1019" s="870"/>
      <c r="M1019" s="870"/>
      <c r="N1019" s="870"/>
      <c r="O1019" s="870"/>
      <c r="P1019" s="870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73"/>
      <c r="E1020" s="677"/>
      <c r="F1020" s="677"/>
      <c r="G1020" s="677"/>
      <c r="H1020" s="872"/>
      <c r="I1020" s="871"/>
      <c r="J1020" s="871"/>
      <c r="K1020" s="870"/>
      <c r="L1020" s="870"/>
      <c r="M1020" s="870"/>
      <c r="N1020" s="870"/>
      <c r="O1020" s="870"/>
      <c r="P1020" s="870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73"/>
      <c r="E1021" s="677"/>
      <c r="F1021" s="677"/>
      <c r="G1021" s="677"/>
      <c r="H1021" s="872"/>
      <c r="I1021" s="871"/>
      <c r="J1021" s="871"/>
      <c r="K1021" s="870"/>
      <c r="L1021" s="870"/>
      <c r="M1021" s="870"/>
      <c r="N1021" s="870"/>
      <c r="O1021" s="870"/>
      <c r="P1021" s="870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73"/>
      <c r="E1022" s="677"/>
      <c r="F1022" s="677"/>
      <c r="G1022" s="677"/>
      <c r="H1022" s="872"/>
      <c r="I1022" s="871"/>
      <c r="J1022" s="871"/>
      <c r="K1022" s="870"/>
      <c r="L1022" s="870"/>
      <c r="M1022" s="870"/>
      <c r="N1022" s="870"/>
      <c r="O1022" s="870"/>
      <c r="P1022" s="870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73"/>
      <c r="E1023" s="677"/>
      <c r="F1023" s="677"/>
      <c r="G1023" s="677"/>
      <c r="H1023" s="872"/>
      <c r="I1023" s="871"/>
      <c r="J1023" s="871"/>
      <c r="K1023" s="870"/>
      <c r="L1023" s="870"/>
      <c r="M1023" s="870"/>
      <c r="N1023" s="870"/>
      <c r="O1023" s="870"/>
      <c r="P1023" s="870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73"/>
      <c r="E1024" s="677"/>
      <c r="F1024" s="677"/>
      <c r="G1024" s="677"/>
      <c r="H1024" s="872"/>
      <c r="I1024" s="871"/>
      <c r="J1024" s="871"/>
      <c r="K1024" s="870"/>
      <c r="L1024" s="870"/>
      <c r="M1024" s="870"/>
      <c r="N1024" s="870"/>
      <c r="O1024" s="870"/>
      <c r="P1024" s="870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73"/>
      <c r="E1025" s="677"/>
      <c r="F1025" s="677"/>
      <c r="G1025" s="677"/>
      <c r="H1025" s="872"/>
      <c r="I1025" s="871"/>
      <c r="J1025" s="871"/>
      <c r="K1025" s="870"/>
      <c r="L1025" s="870"/>
      <c r="M1025" s="870"/>
      <c r="N1025" s="870"/>
      <c r="O1025" s="870"/>
      <c r="P1025" s="870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73"/>
      <c r="E1026" s="677"/>
      <c r="F1026" s="677"/>
      <c r="G1026" s="677"/>
      <c r="H1026" s="872"/>
      <c r="I1026" s="871"/>
      <c r="J1026" s="871"/>
      <c r="K1026" s="870"/>
      <c r="L1026" s="870"/>
      <c r="M1026" s="870"/>
      <c r="N1026" s="870"/>
      <c r="O1026" s="870"/>
      <c r="P1026" s="870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73"/>
      <c r="E1027" s="677"/>
      <c r="F1027" s="677"/>
      <c r="G1027" s="677"/>
      <c r="H1027" s="872"/>
      <c r="I1027" s="871"/>
      <c r="J1027" s="871"/>
      <c r="K1027" s="870"/>
      <c r="L1027" s="870"/>
      <c r="M1027" s="870"/>
      <c r="N1027" s="870"/>
      <c r="O1027" s="870"/>
      <c r="P1027" s="870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73"/>
      <c r="E1028" s="677"/>
      <c r="F1028" s="677"/>
      <c r="G1028" s="677"/>
      <c r="H1028" s="872"/>
      <c r="I1028" s="871"/>
      <c r="J1028" s="871"/>
      <c r="K1028" s="870"/>
      <c r="L1028" s="870"/>
      <c r="M1028" s="870"/>
      <c r="N1028" s="870"/>
      <c r="O1028" s="870"/>
      <c r="P1028" s="870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73"/>
      <c r="E1029" s="677"/>
      <c r="F1029" s="677"/>
      <c r="G1029" s="677"/>
      <c r="H1029" s="872"/>
      <c r="I1029" s="871"/>
      <c r="J1029" s="871"/>
      <c r="K1029" s="870"/>
      <c r="L1029" s="870"/>
      <c r="M1029" s="870"/>
      <c r="N1029" s="870"/>
      <c r="O1029" s="870"/>
      <c r="P1029" s="870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73"/>
      <c r="E1030" s="677"/>
      <c r="F1030" s="677"/>
      <c r="G1030" s="677"/>
      <c r="H1030" s="872"/>
      <c r="I1030" s="871"/>
      <c r="J1030" s="871"/>
      <c r="K1030" s="870"/>
      <c r="L1030" s="870"/>
      <c r="M1030" s="870"/>
      <c r="N1030" s="870"/>
      <c r="O1030" s="870"/>
      <c r="P1030" s="870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73"/>
      <c r="E1031" s="677"/>
      <c r="F1031" s="677"/>
      <c r="G1031" s="677"/>
      <c r="H1031" s="872"/>
      <c r="I1031" s="871"/>
      <c r="J1031" s="871"/>
      <c r="K1031" s="870"/>
      <c r="L1031" s="870"/>
      <c r="M1031" s="870"/>
      <c r="N1031" s="870"/>
      <c r="O1031" s="870"/>
      <c r="P1031" s="870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73"/>
      <c r="E1032" s="677"/>
      <c r="F1032" s="677"/>
      <c r="G1032" s="677"/>
      <c r="H1032" s="872"/>
      <c r="I1032" s="871"/>
      <c r="J1032" s="871"/>
      <c r="K1032" s="870"/>
      <c r="L1032" s="870"/>
      <c r="M1032" s="870"/>
      <c r="N1032" s="870"/>
      <c r="O1032" s="870"/>
      <c r="P1032" s="870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73"/>
      <c r="E1033" s="677"/>
      <c r="F1033" s="677"/>
      <c r="G1033" s="677"/>
      <c r="H1033" s="872"/>
      <c r="I1033" s="871"/>
      <c r="J1033" s="871"/>
      <c r="K1033" s="870"/>
      <c r="L1033" s="870"/>
      <c r="M1033" s="870"/>
      <c r="N1033" s="870"/>
      <c r="O1033" s="870"/>
      <c r="P1033" s="870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73"/>
      <c r="E1034" s="677"/>
      <c r="F1034" s="677"/>
      <c r="G1034" s="677"/>
      <c r="H1034" s="872"/>
      <c r="I1034" s="871"/>
      <c r="J1034" s="871"/>
      <c r="K1034" s="870"/>
      <c r="L1034" s="870"/>
      <c r="M1034" s="870"/>
      <c r="N1034" s="870"/>
      <c r="O1034" s="870"/>
      <c r="P1034" s="870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73"/>
      <c r="E1035" s="677"/>
      <c r="F1035" s="677"/>
      <c r="G1035" s="677"/>
      <c r="H1035" s="872"/>
      <c r="I1035" s="871"/>
      <c r="J1035" s="871"/>
      <c r="K1035" s="870"/>
      <c r="L1035" s="870"/>
      <c r="M1035" s="870"/>
      <c r="N1035" s="870"/>
      <c r="O1035" s="870"/>
      <c r="P1035" s="870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73"/>
      <c r="E1036" s="677"/>
      <c r="F1036" s="677"/>
      <c r="G1036" s="677"/>
      <c r="H1036" s="872"/>
      <c r="I1036" s="871"/>
      <c r="J1036" s="871"/>
      <c r="K1036" s="870"/>
      <c r="L1036" s="870"/>
      <c r="M1036" s="870"/>
      <c r="N1036" s="870"/>
      <c r="O1036" s="870"/>
      <c r="P1036" s="870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73"/>
      <c r="E1037" s="677"/>
      <c r="F1037" s="677"/>
      <c r="G1037" s="677"/>
      <c r="H1037" s="872"/>
      <c r="I1037" s="871"/>
      <c r="J1037" s="871"/>
      <c r="K1037" s="870"/>
      <c r="L1037" s="870"/>
      <c r="M1037" s="870"/>
      <c r="N1037" s="870"/>
      <c r="O1037" s="870"/>
      <c r="P1037" s="870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73"/>
      <c r="E1038" s="677"/>
      <c r="F1038" s="677"/>
      <c r="G1038" s="677"/>
      <c r="H1038" s="872"/>
      <c r="I1038" s="871"/>
      <c r="J1038" s="871"/>
      <c r="K1038" s="870"/>
      <c r="L1038" s="870"/>
      <c r="M1038" s="870"/>
      <c r="N1038" s="870"/>
      <c r="O1038" s="870"/>
      <c r="P1038" s="870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73"/>
      <c r="E1039" s="677"/>
      <c r="F1039" s="677"/>
      <c r="G1039" s="677"/>
      <c r="H1039" s="872"/>
      <c r="I1039" s="871"/>
      <c r="J1039" s="871"/>
      <c r="K1039" s="870"/>
      <c r="L1039" s="870"/>
      <c r="M1039" s="870"/>
      <c r="N1039" s="870"/>
      <c r="O1039" s="870"/>
      <c r="P1039" s="870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73"/>
      <c r="E1040" s="677"/>
      <c r="F1040" s="677"/>
      <c r="G1040" s="677"/>
      <c r="H1040" s="872"/>
      <c r="I1040" s="871"/>
      <c r="J1040" s="871"/>
      <c r="K1040" s="870"/>
      <c r="L1040" s="870"/>
      <c r="M1040" s="870"/>
      <c r="N1040" s="870"/>
      <c r="O1040" s="870"/>
      <c r="P1040" s="870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73"/>
      <c r="E1041" s="677"/>
      <c r="F1041" s="677"/>
      <c r="G1041" s="677"/>
      <c r="H1041" s="872"/>
      <c r="I1041" s="871"/>
      <c r="J1041" s="871"/>
      <c r="K1041" s="870"/>
      <c r="L1041" s="870"/>
      <c r="M1041" s="870"/>
      <c r="N1041" s="870"/>
      <c r="O1041" s="870"/>
      <c r="P1041" s="870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73"/>
      <c r="E1042" s="677"/>
      <c r="F1042" s="677"/>
      <c r="G1042" s="677"/>
      <c r="H1042" s="872"/>
      <c r="I1042" s="871"/>
      <c r="J1042" s="871"/>
      <c r="K1042" s="870"/>
      <c r="L1042" s="870"/>
      <c r="M1042" s="870"/>
      <c r="N1042" s="870"/>
      <c r="O1042" s="870"/>
      <c r="P1042" s="870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73"/>
      <c r="E1043" s="677"/>
      <c r="F1043" s="677"/>
      <c r="G1043" s="677"/>
      <c r="H1043" s="872"/>
      <c r="I1043" s="871"/>
      <c r="J1043" s="871"/>
      <c r="K1043" s="870"/>
      <c r="L1043" s="870"/>
      <c r="M1043" s="870"/>
      <c r="N1043" s="870"/>
      <c r="O1043" s="870"/>
      <c r="P1043" s="870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73"/>
      <c r="E1044" s="677"/>
      <c r="F1044" s="677"/>
      <c r="G1044" s="677"/>
      <c r="H1044" s="872"/>
      <c r="I1044" s="871"/>
      <c r="J1044" s="871"/>
      <c r="K1044" s="870"/>
      <c r="L1044" s="870"/>
      <c r="M1044" s="870"/>
      <c r="N1044" s="870"/>
      <c r="O1044" s="870"/>
      <c r="P1044" s="870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73"/>
      <c r="E1045" s="677"/>
      <c r="F1045" s="677"/>
      <c r="G1045" s="677"/>
      <c r="H1045" s="872"/>
      <c r="I1045" s="871"/>
      <c r="J1045" s="871"/>
      <c r="K1045" s="870"/>
      <c r="L1045" s="870"/>
      <c r="M1045" s="870"/>
      <c r="N1045" s="870"/>
      <c r="O1045" s="870"/>
      <c r="P1045" s="870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73"/>
      <c r="E1046" s="677"/>
      <c r="F1046" s="677"/>
      <c r="G1046" s="677"/>
      <c r="H1046" s="872"/>
      <c r="I1046" s="871"/>
      <c r="J1046" s="871"/>
      <c r="K1046" s="870"/>
      <c r="L1046" s="870"/>
      <c r="M1046" s="870"/>
      <c r="N1046" s="870"/>
      <c r="O1046" s="870"/>
      <c r="P1046" s="870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73"/>
      <c r="E1047" s="677"/>
      <c r="F1047" s="677"/>
      <c r="G1047" s="677"/>
      <c r="H1047" s="872"/>
      <c r="I1047" s="871"/>
      <c r="J1047" s="871"/>
      <c r="K1047" s="870"/>
      <c r="L1047" s="870"/>
      <c r="M1047" s="870"/>
      <c r="N1047" s="870"/>
      <c r="O1047" s="870"/>
      <c r="P1047" s="870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73"/>
      <c r="E1048" s="677"/>
      <c r="F1048" s="677"/>
      <c r="G1048" s="677"/>
      <c r="H1048" s="872"/>
      <c r="I1048" s="871"/>
      <c r="J1048" s="871"/>
      <c r="K1048" s="870"/>
      <c r="L1048" s="870"/>
      <c r="M1048" s="870"/>
      <c r="N1048" s="870"/>
      <c r="O1048" s="870"/>
      <c r="P1048" s="870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73"/>
      <c r="E1049" s="677"/>
      <c r="F1049" s="677"/>
      <c r="G1049" s="677"/>
      <c r="H1049" s="872"/>
      <c r="I1049" s="871"/>
      <c r="J1049" s="871"/>
      <c r="K1049" s="870"/>
      <c r="L1049" s="870"/>
      <c r="M1049" s="870"/>
      <c r="N1049" s="870"/>
      <c r="O1049" s="870"/>
      <c r="P1049" s="870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73"/>
      <c r="E1050" s="677"/>
      <c r="F1050" s="677"/>
      <c r="G1050" s="677"/>
      <c r="H1050" s="872"/>
      <c r="I1050" s="871"/>
      <c r="J1050" s="871"/>
      <c r="K1050" s="870"/>
      <c r="L1050" s="870"/>
      <c r="M1050" s="870"/>
      <c r="N1050" s="870"/>
      <c r="O1050" s="870"/>
      <c r="P1050" s="870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73"/>
      <c r="E1051" s="677"/>
      <c r="F1051" s="677"/>
      <c r="G1051" s="677"/>
      <c r="H1051" s="872"/>
      <c r="I1051" s="871"/>
      <c r="J1051" s="871"/>
      <c r="K1051" s="870"/>
      <c r="L1051" s="870"/>
      <c r="M1051" s="870"/>
      <c r="N1051" s="870"/>
      <c r="O1051" s="870"/>
      <c r="P1051" s="870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73"/>
      <c r="E1052" s="677"/>
      <c r="F1052" s="677"/>
      <c r="G1052" s="677"/>
      <c r="H1052" s="872"/>
      <c r="I1052" s="871"/>
      <c r="J1052" s="871"/>
      <c r="K1052" s="870"/>
      <c r="L1052" s="870"/>
      <c r="M1052" s="870"/>
      <c r="N1052" s="870"/>
      <c r="O1052" s="870"/>
      <c r="P1052" s="870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73"/>
      <c r="E1053" s="677"/>
      <c r="F1053" s="677"/>
      <c r="G1053" s="677"/>
      <c r="H1053" s="872"/>
      <c r="I1053" s="871"/>
      <c r="J1053" s="871"/>
      <c r="K1053" s="870"/>
      <c r="L1053" s="870"/>
      <c r="M1053" s="870"/>
      <c r="N1053" s="870"/>
      <c r="O1053" s="870"/>
      <c r="P1053" s="870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73"/>
      <c r="E1054" s="677"/>
      <c r="F1054" s="677"/>
      <c r="G1054" s="677"/>
      <c r="H1054" s="872"/>
      <c r="I1054" s="871"/>
      <c r="J1054" s="871"/>
      <c r="K1054" s="870"/>
      <c r="L1054" s="870"/>
      <c r="M1054" s="870"/>
      <c r="N1054" s="870"/>
      <c r="O1054" s="870"/>
      <c r="P1054" s="870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73"/>
      <c r="E1055" s="677"/>
      <c r="F1055" s="677"/>
      <c r="G1055" s="677"/>
      <c r="H1055" s="872"/>
      <c r="I1055" s="871"/>
      <c r="J1055" s="871"/>
      <c r="K1055" s="870"/>
      <c r="L1055" s="870"/>
      <c r="M1055" s="870"/>
      <c r="N1055" s="870"/>
      <c r="O1055" s="870"/>
      <c r="P1055" s="870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73"/>
      <c r="E1056" s="677"/>
      <c r="F1056" s="677"/>
      <c r="G1056" s="677"/>
      <c r="H1056" s="872"/>
      <c r="I1056" s="871"/>
      <c r="J1056" s="871"/>
      <c r="K1056" s="870"/>
      <c r="L1056" s="870"/>
      <c r="M1056" s="870"/>
      <c r="N1056" s="870"/>
      <c r="O1056" s="870"/>
      <c r="P1056" s="870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73"/>
      <c r="E1057" s="677"/>
      <c r="F1057" s="677"/>
      <c r="G1057" s="677"/>
      <c r="H1057" s="872"/>
      <c r="I1057" s="871"/>
      <c r="J1057" s="871"/>
      <c r="K1057" s="870"/>
      <c r="L1057" s="870"/>
      <c r="M1057" s="870"/>
      <c r="N1057" s="870"/>
      <c r="O1057" s="870"/>
      <c r="P1057" s="870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73"/>
      <c r="E1058" s="677"/>
      <c r="F1058" s="677"/>
      <c r="G1058" s="677"/>
      <c r="H1058" s="872"/>
      <c r="I1058" s="871"/>
      <c r="J1058" s="871"/>
      <c r="K1058" s="870"/>
      <c r="L1058" s="870"/>
      <c r="M1058" s="870"/>
      <c r="N1058" s="870"/>
      <c r="O1058" s="870"/>
      <c r="P1058" s="870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73"/>
      <c r="E1059" s="677"/>
      <c r="F1059" s="677"/>
      <c r="G1059" s="677"/>
      <c r="H1059" s="872"/>
      <c r="I1059" s="871"/>
      <c r="J1059" s="871"/>
      <c r="K1059" s="870"/>
      <c r="L1059" s="870"/>
      <c r="M1059" s="870"/>
      <c r="N1059" s="870"/>
      <c r="O1059" s="870"/>
      <c r="P1059" s="870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73"/>
      <c r="E1060" s="677"/>
      <c r="F1060" s="677"/>
      <c r="G1060" s="677"/>
      <c r="H1060" s="872"/>
      <c r="I1060" s="871"/>
      <c r="J1060" s="871"/>
      <c r="K1060" s="870"/>
      <c r="L1060" s="870"/>
      <c r="M1060" s="870"/>
      <c r="N1060" s="870"/>
      <c r="O1060" s="870"/>
      <c r="P1060" s="870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73"/>
      <c r="E1061" s="677"/>
      <c r="F1061" s="677"/>
      <c r="G1061" s="677"/>
      <c r="H1061" s="872"/>
      <c r="I1061" s="871"/>
      <c r="J1061" s="871"/>
      <c r="K1061" s="870"/>
      <c r="L1061" s="870"/>
      <c r="M1061" s="870"/>
      <c r="N1061" s="870"/>
      <c r="O1061" s="870"/>
      <c r="P1061" s="870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73"/>
      <c r="E1062" s="677"/>
      <c r="F1062" s="677"/>
      <c r="G1062" s="677"/>
      <c r="H1062" s="872"/>
      <c r="I1062" s="871"/>
      <c r="J1062" s="871"/>
      <c r="K1062" s="870"/>
      <c r="L1062" s="870"/>
      <c r="M1062" s="870"/>
      <c r="N1062" s="870"/>
      <c r="O1062" s="870"/>
      <c r="P1062" s="870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73"/>
      <c r="E1063" s="677"/>
      <c r="F1063" s="677"/>
      <c r="G1063" s="677"/>
      <c r="H1063" s="872"/>
      <c r="I1063" s="871"/>
      <c r="J1063" s="871"/>
      <c r="K1063" s="870"/>
      <c r="L1063" s="870"/>
      <c r="M1063" s="870"/>
      <c r="N1063" s="870"/>
      <c r="O1063" s="870"/>
      <c r="P1063" s="870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73"/>
      <c r="E1064" s="677"/>
      <c r="F1064" s="677"/>
      <c r="G1064" s="677"/>
      <c r="H1064" s="872"/>
      <c r="I1064" s="871"/>
      <c r="J1064" s="871"/>
      <c r="K1064" s="870"/>
      <c r="L1064" s="870"/>
      <c r="M1064" s="870"/>
      <c r="N1064" s="870"/>
      <c r="O1064" s="870"/>
      <c r="P1064" s="870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73"/>
      <c r="E1065" s="677"/>
      <c r="F1065" s="677"/>
      <c r="G1065" s="677"/>
      <c r="H1065" s="872"/>
      <c r="I1065" s="871"/>
      <c r="J1065" s="871"/>
      <c r="K1065" s="870"/>
      <c r="L1065" s="870"/>
      <c r="M1065" s="870"/>
      <c r="N1065" s="870"/>
      <c r="O1065" s="870"/>
      <c r="P1065" s="870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73"/>
      <c r="E1066" s="677"/>
      <c r="F1066" s="677"/>
      <c r="G1066" s="677"/>
      <c r="H1066" s="872"/>
      <c r="I1066" s="871"/>
      <c r="J1066" s="871"/>
      <c r="K1066" s="870"/>
      <c r="L1066" s="870"/>
      <c r="M1066" s="870"/>
      <c r="N1066" s="870"/>
      <c r="O1066" s="870"/>
      <c r="P1066" s="870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73"/>
      <c r="E1067" s="677"/>
      <c r="F1067" s="677"/>
      <c r="G1067" s="677"/>
      <c r="H1067" s="872"/>
      <c r="I1067" s="871"/>
      <c r="J1067" s="871"/>
      <c r="K1067" s="870"/>
      <c r="L1067" s="870"/>
      <c r="M1067" s="870"/>
      <c r="N1067" s="870"/>
      <c r="O1067" s="870"/>
      <c r="P1067" s="870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73"/>
      <c r="E1068" s="677"/>
      <c r="F1068" s="677"/>
      <c r="G1068" s="677"/>
      <c r="H1068" s="872"/>
      <c r="I1068" s="871"/>
      <c r="J1068" s="871"/>
      <c r="K1068" s="870"/>
      <c r="L1068" s="870"/>
      <c r="M1068" s="870"/>
      <c r="N1068" s="870"/>
      <c r="O1068" s="870"/>
      <c r="P1068" s="870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73"/>
      <c r="E1069" s="677"/>
      <c r="F1069" s="677"/>
      <c r="G1069" s="677"/>
      <c r="H1069" s="872"/>
      <c r="I1069" s="871"/>
      <c r="J1069" s="871"/>
      <c r="K1069" s="870"/>
      <c r="L1069" s="870"/>
      <c r="M1069" s="870"/>
      <c r="N1069" s="870"/>
      <c r="O1069" s="870"/>
      <c r="P1069" s="870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73"/>
      <c r="E1070" s="677"/>
      <c r="F1070" s="677"/>
      <c r="G1070" s="677"/>
      <c r="H1070" s="872"/>
      <c r="I1070" s="871"/>
      <c r="J1070" s="871"/>
      <c r="K1070" s="870"/>
      <c r="L1070" s="870"/>
      <c r="M1070" s="870"/>
      <c r="N1070" s="870"/>
      <c r="O1070" s="870"/>
      <c r="P1070" s="870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73"/>
      <c r="E1071" s="677"/>
      <c r="F1071" s="677"/>
      <c r="G1071" s="677"/>
      <c r="H1071" s="872"/>
      <c r="I1071" s="871"/>
      <c r="J1071" s="871"/>
      <c r="K1071" s="870"/>
      <c r="L1071" s="870"/>
      <c r="M1071" s="870"/>
      <c r="N1071" s="870"/>
      <c r="O1071" s="870"/>
      <c r="P1071" s="870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73"/>
      <c r="E1072" s="677"/>
      <c r="F1072" s="677"/>
      <c r="G1072" s="677"/>
      <c r="H1072" s="872"/>
      <c r="I1072" s="871"/>
      <c r="J1072" s="871"/>
      <c r="K1072" s="870"/>
      <c r="L1072" s="870"/>
      <c r="M1072" s="870"/>
      <c r="N1072" s="870"/>
      <c r="O1072" s="870"/>
      <c r="P1072" s="870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73"/>
      <c r="E1073" s="677"/>
      <c r="F1073" s="677"/>
      <c r="G1073" s="677"/>
      <c r="H1073" s="872"/>
      <c r="I1073" s="871"/>
      <c r="J1073" s="871"/>
      <c r="K1073" s="870"/>
      <c r="L1073" s="870"/>
      <c r="M1073" s="870"/>
      <c r="N1073" s="870"/>
      <c r="O1073" s="870"/>
      <c r="P1073" s="870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73"/>
      <c r="E1074" s="677"/>
      <c r="F1074" s="677"/>
      <c r="G1074" s="677"/>
      <c r="H1074" s="872"/>
      <c r="I1074" s="871"/>
      <c r="J1074" s="871"/>
      <c r="K1074" s="870"/>
      <c r="L1074" s="870"/>
      <c r="M1074" s="870"/>
      <c r="N1074" s="870"/>
      <c r="O1074" s="870"/>
      <c r="P1074" s="870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73"/>
      <c r="E1075" s="677"/>
      <c r="F1075" s="677"/>
      <c r="G1075" s="677"/>
      <c r="H1075" s="872"/>
      <c r="I1075" s="871"/>
      <c r="J1075" s="871"/>
      <c r="K1075" s="870"/>
      <c r="L1075" s="870"/>
      <c r="M1075" s="870"/>
      <c r="N1075" s="870"/>
      <c r="O1075" s="870"/>
      <c r="P1075" s="870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73"/>
      <c r="E1076" s="677"/>
      <c r="F1076" s="677"/>
      <c r="G1076" s="677"/>
      <c r="H1076" s="872"/>
      <c r="I1076" s="871"/>
      <c r="J1076" s="871"/>
      <c r="K1076" s="870"/>
      <c r="L1076" s="870"/>
      <c r="M1076" s="870"/>
      <c r="N1076" s="870"/>
      <c r="O1076" s="870"/>
      <c r="P1076" s="870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73"/>
      <c r="E1077" s="677"/>
      <c r="F1077" s="677"/>
      <c r="G1077" s="677"/>
      <c r="H1077" s="872"/>
      <c r="I1077" s="871"/>
      <c r="J1077" s="871"/>
      <c r="K1077" s="870"/>
      <c r="L1077" s="870"/>
      <c r="M1077" s="870"/>
      <c r="N1077" s="870"/>
      <c r="O1077" s="870"/>
      <c r="P1077" s="870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73"/>
      <c r="E1078" s="677"/>
      <c r="F1078" s="677"/>
      <c r="G1078" s="677"/>
      <c r="H1078" s="872"/>
      <c r="I1078" s="871"/>
      <c r="J1078" s="871"/>
      <c r="K1078" s="870"/>
      <c r="L1078" s="870"/>
      <c r="M1078" s="870"/>
      <c r="N1078" s="870"/>
      <c r="O1078" s="870"/>
      <c r="P1078" s="870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73"/>
      <c r="E1079" s="677"/>
      <c r="F1079" s="677"/>
      <c r="G1079" s="677"/>
      <c r="H1079" s="872"/>
      <c r="I1079" s="871"/>
      <c r="J1079" s="871"/>
      <c r="K1079" s="870"/>
      <c r="L1079" s="870"/>
      <c r="M1079" s="870"/>
      <c r="N1079" s="870"/>
      <c r="O1079" s="870"/>
      <c r="P1079" s="870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73"/>
      <c r="E1080" s="677"/>
      <c r="F1080" s="677"/>
      <c r="G1080" s="677"/>
      <c r="H1080" s="872"/>
      <c r="I1080" s="871"/>
      <c r="J1080" s="871"/>
      <c r="K1080" s="870"/>
      <c r="L1080" s="870"/>
      <c r="M1080" s="870"/>
      <c r="N1080" s="870"/>
      <c r="O1080" s="870"/>
      <c r="P1080" s="870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73"/>
      <c r="E1081" s="677"/>
      <c r="F1081" s="677"/>
      <c r="G1081" s="677"/>
      <c r="H1081" s="872"/>
      <c r="I1081" s="871"/>
      <c r="J1081" s="871"/>
      <c r="K1081" s="870"/>
      <c r="L1081" s="870"/>
      <c r="M1081" s="870"/>
      <c r="N1081" s="870"/>
      <c r="O1081" s="870"/>
      <c r="P1081" s="870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73"/>
      <c r="E1082" s="677"/>
      <c r="F1082" s="677"/>
      <c r="G1082" s="677"/>
      <c r="H1082" s="872"/>
      <c r="I1082" s="871"/>
      <c r="J1082" s="871"/>
      <c r="K1082" s="870"/>
      <c r="L1082" s="870"/>
      <c r="M1082" s="870"/>
      <c r="N1082" s="870"/>
      <c r="O1082" s="870"/>
      <c r="P1082" s="870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73"/>
      <c r="E1083" s="677"/>
      <c r="F1083" s="677"/>
      <c r="G1083" s="677"/>
      <c r="H1083" s="872"/>
      <c r="I1083" s="871"/>
      <c r="J1083" s="871"/>
      <c r="K1083" s="870"/>
      <c r="L1083" s="870"/>
      <c r="M1083" s="870"/>
      <c r="N1083" s="870"/>
      <c r="O1083" s="870"/>
      <c r="P1083" s="870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73"/>
      <c r="E1084" s="677"/>
      <c r="F1084" s="677"/>
      <c r="G1084" s="677"/>
      <c r="H1084" s="872"/>
      <c r="I1084" s="871"/>
      <c r="J1084" s="871"/>
      <c r="K1084" s="870"/>
      <c r="L1084" s="870"/>
      <c r="M1084" s="870"/>
      <c r="N1084" s="870"/>
      <c r="O1084" s="870"/>
      <c r="P1084" s="870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73"/>
      <c r="E1085" s="677"/>
      <c r="F1085" s="677"/>
      <c r="G1085" s="677"/>
      <c r="H1085" s="872"/>
      <c r="I1085" s="871"/>
      <c r="J1085" s="871"/>
      <c r="K1085" s="870"/>
      <c r="L1085" s="870"/>
      <c r="M1085" s="870"/>
      <c r="N1085" s="870"/>
      <c r="O1085" s="870"/>
      <c r="P1085" s="870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73"/>
      <c r="E1086" s="677"/>
      <c r="F1086" s="677"/>
      <c r="G1086" s="677"/>
      <c r="H1086" s="872"/>
      <c r="I1086" s="871"/>
      <c r="J1086" s="871"/>
      <c r="K1086" s="870"/>
      <c r="L1086" s="870"/>
      <c r="M1086" s="870"/>
      <c r="N1086" s="870"/>
      <c r="O1086" s="870"/>
      <c r="P1086" s="870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73"/>
      <c r="E1087" s="677"/>
      <c r="F1087" s="677"/>
      <c r="G1087" s="677"/>
      <c r="H1087" s="872"/>
      <c r="I1087" s="871"/>
      <c r="J1087" s="871"/>
      <c r="K1087" s="870"/>
      <c r="L1087" s="870"/>
      <c r="M1087" s="870"/>
      <c r="N1087" s="870"/>
      <c r="O1087" s="870"/>
      <c r="P1087" s="870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73"/>
      <c r="E1088" s="677"/>
      <c r="F1088" s="677"/>
      <c r="G1088" s="677"/>
      <c r="H1088" s="872"/>
      <c r="I1088" s="871"/>
      <c r="J1088" s="871"/>
      <c r="K1088" s="870"/>
      <c r="L1088" s="870"/>
      <c r="M1088" s="870"/>
      <c r="N1088" s="870"/>
      <c r="O1088" s="870"/>
      <c r="P1088" s="870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73"/>
      <c r="E1089" s="677"/>
      <c r="F1089" s="677"/>
      <c r="G1089" s="677"/>
      <c r="H1089" s="872"/>
      <c r="I1089" s="871"/>
      <c r="J1089" s="871"/>
      <c r="K1089" s="870"/>
      <c r="L1089" s="870"/>
      <c r="M1089" s="870"/>
      <c r="N1089" s="870"/>
      <c r="O1089" s="870"/>
      <c r="P1089" s="870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73"/>
      <c r="E1090" s="677"/>
      <c r="F1090" s="677"/>
      <c r="G1090" s="677"/>
      <c r="H1090" s="872"/>
      <c r="I1090" s="871"/>
      <c r="J1090" s="871"/>
      <c r="K1090" s="870"/>
      <c r="L1090" s="870"/>
      <c r="M1090" s="870"/>
      <c r="N1090" s="870"/>
      <c r="O1090" s="870"/>
      <c r="P1090" s="870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73"/>
      <c r="E1091" s="677"/>
      <c r="F1091" s="677"/>
      <c r="G1091" s="677"/>
      <c r="H1091" s="872"/>
      <c r="I1091" s="871"/>
      <c r="J1091" s="871"/>
      <c r="K1091" s="870"/>
      <c r="L1091" s="870"/>
      <c r="M1091" s="870"/>
      <c r="N1091" s="870"/>
      <c r="O1091" s="870"/>
      <c r="P1091" s="870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73"/>
      <c r="E1092" s="677"/>
      <c r="F1092" s="677"/>
      <c r="G1092" s="677"/>
      <c r="H1092" s="872"/>
      <c r="I1092" s="871"/>
      <c r="J1092" s="871"/>
      <c r="K1092" s="870"/>
      <c r="L1092" s="870"/>
      <c r="M1092" s="870"/>
      <c r="N1092" s="870"/>
      <c r="O1092" s="870"/>
      <c r="P1092" s="870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73"/>
      <c r="E1093" s="677"/>
      <c r="F1093" s="677"/>
      <c r="G1093" s="677"/>
      <c r="H1093" s="872"/>
      <c r="I1093" s="871"/>
      <c r="J1093" s="871"/>
      <c r="K1093" s="870"/>
      <c r="L1093" s="870"/>
      <c r="M1093" s="870"/>
      <c r="N1093" s="870"/>
      <c r="O1093" s="870"/>
      <c r="P1093" s="870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73"/>
      <c r="E1094" s="677"/>
      <c r="F1094" s="677"/>
      <c r="G1094" s="677"/>
      <c r="H1094" s="872"/>
      <c r="I1094" s="871"/>
      <c r="J1094" s="871"/>
      <c r="K1094" s="870"/>
      <c r="L1094" s="870"/>
      <c r="M1094" s="870"/>
      <c r="N1094" s="870"/>
      <c r="O1094" s="870"/>
      <c r="P1094" s="870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73"/>
      <c r="E1095" s="677"/>
      <c r="F1095" s="677"/>
      <c r="G1095" s="677"/>
      <c r="H1095" s="872"/>
      <c r="I1095" s="871"/>
      <c r="J1095" s="871"/>
      <c r="K1095" s="870"/>
      <c r="L1095" s="870"/>
      <c r="M1095" s="870"/>
      <c r="N1095" s="870"/>
      <c r="O1095" s="870"/>
      <c r="P1095" s="870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73"/>
      <c r="E1096" s="677"/>
      <c r="F1096" s="677"/>
      <c r="G1096" s="677"/>
      <c r="H1096" s="872"/>
      <c r="I1096" s="871"/>
      <c r="J1096" s="871"/>
      <c r="K1096" s="870"/>
      <c r="L1096" s="870"/>
      <c r="M1096" s="870"/>
      <c r="N1096" s="870"/>
      <c r="O1096" s="870"/>
      <c r="P1096" s="870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73"/>
      <c r="E1097" s="677"/>
      <c r="F1097" s="677"/>
      <c r="G1097" s="677"/>
      <c r="H1097" s="872"/>
      <c r="I1097" s="871"/>
      <c r="J1097" s="871"/>
      <c r="K1097" s="870"/>
      <c r="L1097" s="870"/>
      <c r="M1097" s="870"/>
      <c r="N1097" s="870"/>
      <c r="O1097" s="870"/>
      <c r="P1097" s="870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73"/>
      <c r="E1098" s="677"/>
      <c r="F1098" s="677"/>
      <c r="G1098" s="677"/>
      <c r="H1098" s="872"/>
      <c r="I1098" s="871"/>
      <c r="J1098" s="871"/>
      <c r="K1098" s="870"/>
      <c r="L1098" s="870"/>
      <c r="M1098" s="870"/>
      <c r="N1098" s="870"/>
      <c r="O1098" s="870"/>
      <c r="P1098" s="870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73"/>
      <c r="E1099" s="677"/>
      <c r="F1099" s="677"/>
      <c r="G1099" s="677"/>
      <c r="H1099" s="872"/>
      <c r="I1099" s="871"/>
      <c r="J1099" s="871"/>
      <c r="K1099" s="870"/>
      <c r="L1099" s="870"/>
      <c r="M1099" s="870"/>
      <c r="N1099" s="870"/>
      <c r="O1099" s="870"/>
      <c r="P1099" s="870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73"/>
      <c r="E1100" s="677"/>
      <c r="F1100" s="677"/>
      <c r="G1100" s="677"/>
      <c r="H1100" s="872"/>
      <c r="I1100" s="871"/>
      <c r="J1100" s="871"/>
      <c r="K1100" s="870"/>
      <c r="L1100" s="870"/>
      <c r="M1100" s="870"/>
      <c r="N1100" s="870"/>
      <c r="O1100" s="870"/>
      <c r="P1100" s="870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73"/>
      <c r="E1101" s="677"/>
      <c r="F1101" s="677"/>
      <c r="G1101" s="677"/>
      <c r="H1101" s="872"/>
      <c r="I1101" s="871"/>
      <c r="J1101" s="871"/>
      <c r="K1101" s="870"/>
      <c r="L1101" s="870"/>
      <c r="M1101" s="870"/>
      <c r="N1101" s="870"/>
      <c r="O1101" s="870"/>
      <c r="P1101" s="870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73"/>
      <c r="E1102" s="677"/>
      <c r="F1102" s="677"/>
      <c r="G1102" s="677"/>
      <c r="H1102" s="872"/>
      <c r="I1102" s="871"/>
      <c r="J1102" s="871"/>
      <c r="K1102" s="870"/>
      <c r="L1102" s="870"/>
      <c r="M1102" s="870"/>
      <c r="N1102" s="870"/>
      <c r="O1102" s="870"/>
      <c r="P1102" s="870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73"/>
      <c r="E1103" s="677"/>
      <c r="F1103" s="677"/>
      <c r="G1103" s="677"/>
      <c r="H1103" s="872"/>
      <c r="I1103" s="871"/>
      <c r="J1103" s="871"/>
      <c r="K1103" s="870"/>
      <c r="L1103" s="870"/>
      <c r="M1103" s="870"/>
      <c r="N1103" s="870"/>
      <c r="O1103" s="870"/>
      <c r="P1103" s="870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73"/>
      <c r="E1104" s="677"/>
      <c r="F1104" s="677"/>
      <c r="G1104" s="677"/>
      <c r="H1104" s="872"/>
      <c r="I1104" s="871"/>
      <c r="J1104" s="871"/>
      <c r="K1104" s="870"/>
      <c r="L1104" s="870"/>
      <c r="M1104" s="870"/>
      <c r="N1104" s="870"/>
      <c r="O1104" s="870"/>
      <c r="P1104" s="870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73"/>
      <c r="E1105" s="677"/>
      <c r="F1105" s="677"/>
      <c r="G1105" s="677"/>
      <c r="H1105" s="872"/>
      <c r="I1105" s="871"/>
      <c r="J1105" s="871"/>
      <c r="K1105" s="870"/>
      <c r="L1105" s="870"/>
      <c r="M1105" s="870"/>
      <c r="N1105" s="870"/>
      <c r="O1105" s="870"/>
      <c r="P1105" s="870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73"/>
      <c r="E1106" s="677"/>
      <c r="F1106" s="677"/>
      <c r="G1106" s="677"/>
      <c r="H1106" s="872"/>
      <c r="I1106" s="871"/>
      <c r="J1106" s="871"/>
      <c r="K1106" s="870"/>
      <c r="L1106" s="870"/>
      <c r="M1106" s="870"/>
      <c r="N1106" s="870"/>
      <c r="O1106" s="870"/>
      <c r="P1106" s="870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73"/>
      <c r="E1107" s="677"/>
      <c r="F1107" s="677"/>
      <c r="G1107" s="677"/>
      <c r="H1107" s="872"/>
      <c r="I1107" s="871"/>
      <c r="J1107" s="871"/>
      <c r="K1107" s="870"/>
      <c r="L1107" s="870"/>
      <c r="M1107" s="870"/>
      <c r="N1107" s="870"/>
      <c r="O1107" s="870"/>
      <c r="P1107" s="870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73"/>
      <c r="E1108" s="677"/>
      <c r="F1108" s="677"/>
      <c r="G1108" s="677"/>
      <c r="H1108" s="872"/>
      <c r="I1108" s="871"/>
      <c r="J1108" s="871"/>
      <c r="K1108" s="870"/>
      <c r="L1108" s="870"/>
      <c r="M1108" s="870"/>
      <c r="N1108" s="870"/>
      <c r="O1108" s="870"/>
      <c r="P1108" s="870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73"/>
      <c r="E1109" s="677"/>
      <c r="F1109" s="677"/>
      <c r="G1109" s="677"/>
      <c r="H1109" s="872"/>
      <c r="I1109" s="871"/>
      <c r="J1109" s="871"/>
      <c r="K1109" s="870"/>
      <c r="L1109" s="870"/>
      <c r="M1109" s="870"/>
      <c r="N1109" s="870"/>
      <c r="O1109" s="870"/>
      <c r="P1109" s="870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73"/>
      <c r="E1110" s="677"/>
      <c r="F1110" s="677"/>
      <c r="G1110" s="677"/>
      <c r="H1110" s="872"/>
      <c r="I1110" s="871"/>
      <c r="J1110" s="871"/>
      <c r="K1110" s="870"/>
      <c r="L1110" s="870"/>
      <c r="M1110" s="870"/>
      <c r="N1110" s="870"/>
      <c r="O1110" s="870"/>
      <c r="P1110" s="870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73"/>
      <c r="E1111" s="677"/>
      <c r="F1111" s="677"/>
      <c r="G1111" s="677"/>
      <c r="H1111" s="872"/>
      <c r="I1111" s="871"/>
      <c r="J1111" s="871"/>
      <c r="K1111" s="870"/>
      <c r="L1111" s="870"/>
      <c r="M1111" s="870"/>
      <c r="N1111" s="870"/>
      <c r="O1111" s="870"/>
      <c r="P1111" s="870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73"/>
      <c r="E1112" s="677"/>
      <c r="F1112" s="677"/>
      <c r="G1112" s="677"/>
      <c r="H1112" s="872"/>
      <c r="I1112" s="871"/>
      <c r="J1112" s="871"/>
      <c r="K1112" s="870"/>
      <c r="L1112" s="870"/>
      <c r="M1112" s="870"/>
      <c r="N1112" s="870"/>
      <c r="O1112" s="870"/>
      <c r="P1112" s="870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73"/>
      <c r="E1113" s="677"/>
      <c r="F1113" s="677"/>
      <c r="G1113" s="677"/>
      <c r="H1113" s="872"/>
      <c r="I1113" s="871"/>
      <c r="J1113" s="871"/>
      <c r="K1113" s="870"/>
      <c r="L1113" s="870"/>
      <c r="M1113" s="870"/>
      <c r="N1113" s="870"/>
      <c r="O1113" s="870"/>
      <c r="P1113" s="870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73"/>
      <c r="E1114" s="677"/>
      <c r="F1114" s="677"/>
      <c r="G1114" s="677"/>
      <c r="H1114" s="872"/>
      <c r="I1114" s="871"/>
      <c r="J1114" s="871"/>
      <c r="K1114" s="870"/>
      <c r="L1114" s="870"/>
      <c r="M1114" s="870"/>
      <c r="N1114" s="870"/>
      <c r="O1114" s="870"/>
      <c r="P1114" s="870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73"/>
      <c r="E1115" s="677"/>
      <c r="F1115" s="677"/>
      <c r="G1115" s="677"/>
      <c r="H1115" s="872"/>
      <c r="I1115" s="871"/>
      <c r="J1115" s="871"/>
      <c r="K1115" s="870"/>
      <c r="L1115" s="870"/>
      <c r="M1115" s="870"/>
      <c r="N1115" s="870"/>
      <c r="O1115" s="870"/>
      <c r="P1115" s="870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73"/>
      <c r="E1116" s="677"/>
      <c r="F1116" s="677"/>
      <c r="G1116" s="677"/>
      <c r="H1116" s="872"/>
      <c r="I1116" s="871"/>
      <c r="J1116" s="871"/>
      <c r="K1116" s="870"/>
      <c r="L1116" s="870"/>
      <c r="M1116" s="870"/>
      <c r="N1116" s="870"/>
      <c r="O1116" s="870"/>
      <c r="P1116" s="870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73"/>
      <c r="E1117" s="677"/>
      <c r="F1117" s="677"/>
      <c r="G1117" s="677"/>
      <c r="H1117" s="872"/>
      <c r="I1117" s="871"/>
      <c r="J1117" s="871"/>
      <c r="K1117" s="870"/>
      <c r="L1117" s="870"/>
      <c r="M1117" s="870"/>
      <c r="N1117" s="870"/>
      <c r="O1117" s="870"/>
      <c r="P1117" s="870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73"/>
      <c r="E1118" s="677"/>
      <c r="F1118" s="677"/>
      <c r="G1118" s="677"/>
      <c r="H1118" s="872"/>
      <c r="I1118" s="871"/>
      <c r="J1118" s="871"/>
      <c r="K1118" s="870"/>
      <c r="L1118" s="870"/>
      <c r="M1118" s="870"/>
      <c r="N1118" s="870"/>
      <c r="O1118" s="870"/>
      <c r="P1118" s="870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73"/>
      <c r="E1119" s="677"/>
      <c r="F1119" s="677"/>
      <c r="G1119" s="677"/>
      <c r="H1119" s="872"/>
      <c r="I1119" s="871"/>
      <c r="J1119" s="871"/>
      <c r="K1119" s="870"/>
      <c r="L1119" s="870"/>
      <c r="M1119" s="870"/>
      <c r="N1119" s="870"/>
      <c r="O1119" s="870"/>
      <c r="P1119" s="870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73"/>
      <c r="E1120" s="677"/>
      <c r="F1120" s="677"/>
      <c r="G1120" s="677"/>
      <c r="H1120" s="872"/>
      <c r="I1120" s="871"/>
      <c r="J1120" s="871"/>
      <c r="K1120" s="870"/>
      <c r="L1120" s="870"/>
      <c r="M1120" s="870"/>
      <c r="N1120" s="870"/>
      <c r="O1120" s="870"/>
      <c r="P1120" s="870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73"/>
      <c r="E1121" s="677"/>
      <c r="F1121" s="677"/>
      <c r="G1121" s="677"/>
      <c r="H1121" s="872"/>
      <c r="I1121" s="871"/>
      <c r="J1121" s="871"/>
      <c r="K1121" s="870"/>
      <c r="L1121" s="870"/>
      <c r="M1121" s="870"/>
      <c r="N1121" s="870"/>
      <c r="O1121" s="870"/>
      <c r="P1121" s="870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73"/>
      <c r="E1122" s="677"/>
      <c r="F1122" s="677"/>
      <c r="G1122" s="677"/>
      <c r="H1122" s="872"/>
      <c r="I1122" s="871"/>
      <c r="J1122" s="871"/>
      <c r="K1122" s="870"/>
      <c r="L1122" s="870"/>
      <c r="M1122" s="870"/>
      <c r="N1122" s="870"/>
      <c r="O1122" s="870"/>
      <c r="P1122" s="870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73"/>
      <c r="E1123" s="677"/>
      <c r="F1123" s="677"/>
      <c r="G1123" s="677"/>
      <c r="H1123" s="872"/>
      <c r="I1123" s="871"/>
      <c r="J1123" s="871"/>
      <c r="K1123" s="870"/>
      <c r="L1123" s="870"/>
      <c r="M1123" s="870"/>
      <c r="N1123" s="870"/>
      <c r="O1123" s="870"/>
      <c r="P1123" s="870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73"/>
      <c r="E1124" s="677"/>
      <c r="F1124" s="677"/>
      <c r="G1124" s="677"/>
      <c r="H1124" s="872"/>
      <c r="I1124" s="871"/>
      <c r="J1124" s="871"/>
      <c r="K1124" s="870"/>
      <c r="L1124" s="870"/>
      <c r="M1124" s="870"/>
      <c r="N1124" s="870"/>
      <c r="O1124" s="870"/>
      <c r="P1124" s="870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73"/>
      <c r="E1125" s="677"/>
      <c r="F1125" s="677"/>
      <c r="G1125" s="677"/>
      <c r="H1125" s="872"/>
      <c r="I1125" s="871"/>
      <c r="J1125" s="871"/>
      <c r="K1125" s="870"/>
      <c r="L1125" s="870"/>
      <c r="M1125" s="870"/>
      <c r="N1125" s="870"/>
      <c r="O1125" s="870"/>
      <c r="P1125" s="870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73"/>
      <c r="E1126" s="677"/>
      <c r="F1126" s="677"/>
      <c r="G1126" s="677"/>
      <c r="H1126" s="872"/>
      <c r="I1126" s="871"/>
      <c r="J1126" s="871"/>
      <c r="K1126" s="870"/>
      <c r="L1126" s="870"/>
      <c r="M1126" s="870"/>
      <c r="N1126" s="870"/>
      <c r="O1126" s="870"/>
      <c r="P1126" s="870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73"/>
      <c r="E1127" s="677"/>
      <c r="F1127" s="677"/>
      <c r="G1127" s="677"/>
      <c r="H1127" s="872"/>
      <c r="I1127" s="871"/>
      <c r="J1127" s="871"/>
      <c r="K1127" s="870"/>
      <c r="L1127" s="870"/>
      <c r="M1127" s="870"/>
      <c r="N1127" s="870"/>
      <c r="O1127" s="870"/>
      <c r="P1127" s="870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73"/>
      <c r="E1128" s="677"/>
      <c r="F1128" s="677"/>
      <c r="G1128" s="677"/>
      <c r="H1128" s="872"/>
      <c r="I1128" s="871"/>
      <c r="J1128" s="871"/>
      <c r="K1128" s="870"/>
      <c r="L1128" s="870"/>
      <c r="M1128" s="870"/>
      <c r="N1128" s="870"/>
      <c r="O1128" s="870"/>
      <c r="P1128" s="870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73"/>
      <c r="E1129" s="677"/>
      <c r="F1129" s="677"/>
      <c r="G1129" s="677"/>
      <c r="H1129" s="872"/>
      <c r="I1129" s="871"/>
      <c r="J1129" s="871"/>
      <c r="K1129" s="870"/>
      <c r="L1129" s="870"/>
      <c r="M1129" s="870"/>
      <c r="N1129" s="870"/>
      <c r="O1129" s="870"/>
      <c r="P1129" s="870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73"/>
      <c r="E1130" s="677"/>
      <c r="F1130" s="677"/>
      <c r="G1130" s="677"/>
      <c r="H1130" s="872"/>
      <c r="I1130" s="871"/>
      <c r="J1130" s="871"/>
      <c r="K1130" s="870"/>
      <c r="L1130" s="870"/>
      <c r="M1130" s="870"/>
      <c r="N1130" s="870"/>
      <c r="O1130" s="870"/>
      <c r="P1130" s="870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73"/>
      <c r="E1131" s="677"/>
      <c r="F1131" s="677"/>
      <c r="G1131" s="677"/>
      <c r="H1131" s="872"/>
      <c r="I1131" s="871"/>
      <c r="J1131" s="871"/>
      <c r="K1131" s="870"/>
      <c r="L1131" s="870"/>
      <c r="M1131" s="870"/>
      <c r="N1131" s="870"/>
      <c r="O1131" s="870"/>
      <c r="P1131" s="870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73"/>
      <c r="E1132" s="677"/>
      <c r="F1132" s="677"/>
      <c r="G1132" s="677"/>
      <c r="H1132" s="872"/>
      <c r="I1132" s="871"/>
      <c r="J1132" s="871"/>
      <c r="K1132" s="870"/>
      <c r="L1132" s="870"/>
      <c r="M1132" s="870"/>
      <c r="N1132" s="870"/>
      <c r="O1132" s="870"/>
      <c r="P1132" s="870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73"/>
      <c r="E1133" s="677"/>
      <c r="F1133" s="677"/>
      <c r="G1133" s="677"/>
      <c r="H1133" s="872"/>
      <c r="I1133" s="871"/>
      <c r="J1133" s="871"/>
      <c r="K1133" s="870"/>
      <c r="L1133" s="870"/>
      <c r="M1133" s="870"/>
      <c r="N1133" s="870"/>
      <c r="O1133" s="870"/>
      <c r="P1133" s="870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73"/>
      <c r="E1134" s="677"/>
      <c r="F1134" s="677"/>
      <c r="G1134" s="677"/>
      <c r="H1134" s="872"/>
      <c r="I1134" s="871"/>
      <c r="J1134" s="871"/>
      <c r="K1134" s="870"/>
      <c r="L1134" s="870"/>
      <c r="M1134" s="870"/>
      <c r="N1134" s="870"/>
      <c r="O1134" s="870"/>
      <c r="P1134" s="870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73"/>
      <c r="E1135" s="677"/>
      <c r="F1135" s="677"/>
      <c r="G1135" s="677"/>
      <c r="H1135" s="872"/>
      <c r="I1135" s="871"/>
      <c r="J1135" s="871"/>
      <c r="K1135" s="870"/>
      <c r="L1135" s="870"/>
      <c r="M1135" s="870"/>
      <c r="N1135" s="870"/>
      <c r="O1135" s="870"/>
      <c r="P1135" s="870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73"/>
      <c r="E1136" s="677"/>
      <c r="F1136" s="677"/>
      <c r="G1136" s="677"/>
      <c r="H1136" s="872"/>
      <c r="I1136" s="871"/>
      <c r="J1136" s="871"/>
      <c r="K1136" s="870"/>
      <c r="L1136" s="870"/>
      <c r="M1136" s="870"/>
      <c r="N1136" s="870"/>
      <c r="O1136" s="870"/>
      <c r="P1136" s="870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73"/>
      <c r="E1137" s="677"/>
      <c r="F1137" s="677"/>
      <c r="G1137" s="677"/>
      <c r="H1137" s="872"/>
      <c r="I1137" s="871"/>
      <c r="J1137" s="871"/>
      <c r="K1137" s="870"/>
      <c r="L1137" s="870"/>
      <c r="M1137" s="870"/>
      <c r="N1137" s="870"/>
      <c r="O1137" s="870"/>
      <c r="P1137" s="870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73"/>
      <c r="E1138" s="677"/>
      <c r="F1138" s="677"/>
      <c r="G1138" s="677"/>
      <c r="H1138" s="872"/>
      <c r="I1138" s="871"/>
      <c r="J1138" s="871"/>
      <c r="K1138" s="870"/>
      <c r="L1138" s="870"/>
      <c r="M1138" s="870"/>
      <c r="N1138" s="870"/>
      <c r="O1138" s="870"/>
      <c r="P1138" s="870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73"/>
      <c r="E1139" s="677"/>
      <c r="F1139" s="677"/>
      <c r="G1139" s="677"/>
      <c r="H1139" s="872"/>
      <c r="I1139" s="871"/>
      <c r="J1139" s="871"/>
      <c r="K1139" s="870"/>
      <c r="L1139" s="870"/>
      <c r="M1139" s="870"/>
      <c r="N1139" s="870"/>
      <c r="O1139" s="870"/>
      <c r="P1139" s="870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73"/>
      <c r="E1140" s="677"/>
      <c r="F1140" s="677"/>
      <c r="G1140" s="677"/>
      <c r="H1140" s="872"/>
      <c r="I1140" s="871"/>
      <c r="J1140" s="871"/>
      <c r="K1140" s="870"/>
      <c r="L1140" s="870"/>
      <c r="M1140" s="870"/>
      <c r="N1140" s="870"/>
      <c r="O1140" s="870"/>
      <c r="P1140" s="870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73"/>
      <c r="E1141" s="677"/>
      <c r="F1141" s="677"/>
      <c r="G1141" s="677"/>
      <c r="H1141" s="872"/>
      <c r="I1141" s="871"/>
      <c r="J1141" s="871"/>
      <c r="K1141" s="870"/>
      <c r="L1141" s="870"/>
      <c r="M1141" s="870"/>
      <c r="N1141" s="870"/>
      <c r="O1141" s="870"/>
      <c r="P1141" s="870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73"/>
      <c r="E1142" s="677"/>
      <c r="F1142" s="677"/>
      <c r="G1142" s="677"/>
      <c r="H1142" s="872"/>
      <c r="I1142" s="871"/>
      <c r="J1142" s="871"/>
      <c r="K1142" s="870"/>
      <c r="L1142" s="870"/>
      <c r="M1142" s="870"/>
      <c r="N1142" s="870"/>
      <c r="O1142" s="870"/>
      <c r="P1142" s="870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73"/>
      <c r="E1143" s="677"/>
      <c r="F1143" s="677"/>
      <c r="G1143" s="677"/>
      <c r="H1143" s="872"/>
      <c r="I1143" s="871"/>
      <c r="J1143" s="871"/>
      <c r="K1143" s="870"/>
      <c r="L1143" s="870"/>
      <c r="M1143" s="870"/>
      <c r="N1143" s="870"/>
      <c r="O1143" s="870"/>
      <c r="P1143" s="870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73"/>
      <c r="E1144" s="677"/>
      <c r="F1144" s="677"/>
      <c r="G1144" s="677"/>
      <c r="H1144" s="872"/>
      <c r="I1144" s="871"/>
      <c r="J1144" s="871"/>
      <c r="K1144" s="870"/>
      <c r="L1144" s="870"/>
      <c r="M1144" s="870"/>
      <c r="N1144" s="870"/>
      <c r="O1144" s="870"/>
      <c r="P1144" s="870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73"/>
      <c r="E1145" s="677"/>
      <c r="F1145" s="677"/>
      <c r="G1145" s="677"/>
      <c r="H1145" s="872"/>
      <c r="I1145" s="871"/>
      <c r="J1145" s="871"/>
      <c r="K1145" s="870"/>
      <c r="L1145" s="870"/>
      <c r="M1145" s="870"/>
      <c r="N1145" s="870"/>
      <c r="O1145" s="870"/>
      <c r="P1145" s="870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73"/>
      <c r="E1146" s="677"/>
      <c r="F1146" s="677"/>
      <c r="G1146" s="677"/>
      <c r="H1146" s="872"/>
      <c r="I1146" s="871"/>
      <c r="J1146" s="871"/>
      <c r="K1146" s="870"/>
      <c r="L1146" s="870"/>
      <c r="M1146" s="870"/>
      <c r="N1146" s="870"/>
      <c r="O1146" s="870"/>
      <c r="P1146" s="870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73"/>
      <c r="E1147" s="677"/>
      <c r="F1147" s="677"/>
      <c r="G1147" s="677"/>
      <c r="H1147" s="872"/>
      <c r="I1147" s="871"/>
      <c r="J1147" s="871"/>
      <c r="K1147" s="870"/>
      <c r="L1147" s="870"/>
      <c r="M1147" s="870"/>
      <c r="N1147" s="870"/>
      <c r="O1147" s="870"/>
      <c r="P1147" s="870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73"/>
      <c r="E1148" s="677"/>
      <c r="F1148" s="677"/>
      <c r="G1148" s="677"/>
      <c r="H1148" s="872"/>
      <c r="I1148" s="871"/>
      <c r="J1148" s="871"/>
      <c r="K1148" s="870"/>
      <c r="L1148" s="870"/>
      <c r="M1148" s="870"/>
      <c r="N1148" s="870"/>
      <c r="O1148" s="870"/>
      <c r="P1148" s="870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73"/>
      <c r="E1149" s="677"/>
      <c r="F1149" s="677"/>
      <c r="G1149" s="677"/>
      <c r="H1149" s="872"/>
      <c r="I1149" s="871"/>
      <c r="J1149" s="871"/>
      <c r="K1149" s="870"/>
      <c r="L1149" s="870"/>
      <c r="M1149" s="870"/>
      <c r="N1149" s="870"/>
      <c r="O1149" s="870"/>
      <c r="P1149" s="870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73"/>
      <c r="E1150" s="677"/>
      <c r="F1150" s="677"/>
      <c r="G1150" s="677"/>
      <c r="H1150" s="872"/>
      <c r="I1150" s="871"/>
      <c r="J1150" s="871"/>
      <c r="K1150" s="870"/>
      <c r="L1150" s="870"/>
      <c r="M1150" s="870"/>
      <c r="N1150" s="870"/>
      <c r="O1150" s="870"/>
      <c r="P1150" s="870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73"/>
      <c r="E1151" s="677"/>
      <c r="F1151" s="677"/>
      <c r="G1151" s="677"/>
      <c r="H1151" s="872"/>
      <c r="I1151" s="871"/>
      <c r="J1151" s="871"/>
      <c r="K1151" s="870"/>
      <c r="L1151" s="870"/>
      <c r="M1151" s="870"/>
      <c r="N1151" s="870"/>
      <c r="O1151" s="870"/>
      <c r="P1151" s="870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73"/>
      <c r="E1152" s="677"/>
      <c r="F1152" s="677"/>
      <c r="G1152" s="677"/>
      <c r="H1152" s="872"/>
      <c r="I1152" s="871"/>
      <c r="J1152" s="871"/>
      <c r="K1152" s="870"/>
      <c r="L1152" s="870"/>
      <c r="M1152" s="870"/>
      <c r="N1152" s="870"/>
      <c r="O1152" s="870"/>
      <c r="P1152" s="870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73"/>
      <c r="E1153" s="677"/>
      <c r="F1153" s="677"/>
      <c r="G1153" s="677"/>
      <c r="H1153" s="872"/>
      <c r="I1153" s="871"/>
      <c r="J1153" s="871"/>
      <c r="K1153" s="870"/>
      <c r="L1153" s="870"/>
      <c r="M1153" s="870"/>
      <c r="N1153" s="870"/>
      <c r="O1153" s="870"/>
      <c r="P1153" s="870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73"/>
      <c r="E1154" s="677"/>
      <c r="F1154" s="677"/>
      <c r="G1154" s="677"/>
      <c r="H1154" s="872"/>
      <c r="I1154" s="871"/>
      <c r="J1154" s="871"/>
      <c r="K1154" s="870"/>
      <c r="L1154" s="870"/>
      <c r="M1154" s="870"/>
      <c r="N1154" s="870"/>
      <c r="O1154" s="870"/>
      <c r="P1154" s="870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73"/>
      <c r="E1155" s="677"/>
      <c r="F1155" s="677"/>
      <c r="G1155" s="677"/>
      <c r="H1155" s="872"/>
      <c r="I1155" s="871"/>
      <c r="J1155" s="871"/>
      <c r="K1155" s="870"/>
      <c r="L1155" s="870"/>
      <c r="M1155" s="870"/>
      <c r="N1155" s="870"/>
      <c r="O1155" s="870"/>
      <c r="P1155" s="870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73"/>
      <c r="E1156" s="677"/>
      <c r="F1156" s="677"/>
      <c r="G1156" s="677"/>
      <c r="H1156" s="872"/>
      <c r="I1156" s="871"/>
      <c r="J1156" s="871"/>
      <c r="K1156" s="870"/>
      <c r="L1156" s="870"/>
      <c r="M1156" s="870"/>
      <c r="N1156" s="870"/>
      <c r="O1156" s="870"/>
      <c r="P1156" s="870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73"/>
      <c r="E1157" s="677"/>
      <c r="F1157" s="677"/>
      <c r="G1157" s="677"/>
      <c r="H1157" s="872"/>
      <c r="I1157" s="871"/>
      <c r="J1157" s="871"/>
      <c r="K1157" s="870"/>
      <c r="L1157" s="870"/>
      <c r="M1157" s="870"/>
      <c r="N1157" s="870"/>
      <c r="O1157" s="870"/>
      <c r="P1157" s="870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73"/>
      <c r="E1158" s="677"/>
      <c r="F1158" s="677"/>
      <c r="G1158" s="677"/>
      <c r="H1158" s="872"/>
      <c r="I1158" s="871"/>
      <c r="J1158" s="871"/>
      <c r="K1158" s="870"/>
      <c r="L1158" s="870"/>
      <c r="M1158" s="870"/>
      <c r="N1158" s="870"/>
      <c r="O1158" s="870"/>
      <c r="P1158" s="870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73"/>
      <c r="E1159" s="677"/>
      <c r="F1159" s="677"/>
      <c r="G1159" s="677"/>
      <c r="H1159" s="872"/>
      <c r="I1159" s="871"/>
      <c r="J1159" s="871"/>
      <c r="K1159" s="870"/>
      <c r="L1159" s="870"/>
      <c r="M1159" s="870"/>
      <c r="N1159" s="870"/>
      <c r="O1159" s="870"/>
      <c r="P1159" s="870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73"/>
      <c r="E1160" s="677"/>
      <c r="F1160" s="677"/>
      <c r="G1160" s="677"/>
      <c r="H1160" s="872"/>
      <c r="I1160" s="871"/>
      <c r="J1160" s="871"/>
      <c r="K1160" s="870"/>
      <c r="L1160" s="870"/>
      <c r="M1160" s="870"/>
      <c r="N1160" s="870"/>
      <c r="O1160" s="870"/>
      <c r="P1160" s="870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73"/>
      <c r="E1161" s="677"/>
      <c r="F1161" s="677"/>
      <c r="G1161" s="677"/>
      <c r="H1161" s="872"/>
      <c r="I1161" s="871"/>
      <c r="J1161" s="871"/>
      <c r="K1161" s="870"/>
      <c r="L1161" s="870"/>
      <c r="M1161" s="870"/>
      <c r="N1161" s="870"/>
      <c r="O1161" s="870"/>
      <c r="P1161" s="870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73"/>
      <c r="E1162" s="677"/>
      <c r="F1162" s="677"/>
      <c r="G1162" s="677"/>
      <c r="H1162" s="872"/>
      <c r="I1162" s="871"/>
      <c r="J1162" s="871"/>
      <c r="K1162" s="870"/>
      <c r="L1162" s="870"/>
      <c r="M1162" s="870"/>
      <c r="N1162" s="870"/>
      <c r="O1162" s="870"/>
      <c r="P1162" s="870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73"/>
      <c r="E1163" s="677"/>
      <c r="F1163" s="677"/>
      <c r="G1163" s="677"/>
      <c r="H1163" s="872"/>
      <c r="I1163" s="871"/>
      <c r="J1163" s="871"/>
      <c r="K1163" s="870"/>
      <c r="L1163" s="870"/>
      <c r="M1163" s="870"/>
      <c r="N1163" s="870"/>
      <c r="O1163" s="870"/>
      <c r="P1163" s="870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73"/>
      <c r="E1164" s="677"/>
      <c r="F1164" s="677"/>
      <c r="G1164" s="677"/>
      <c r="H1164" s="872"/>
      <c r="I1164" s="871"/>
      <c r="J1164" s="871"/>
      <c r="K1164" s="870"/>
      <c r="L1164" s="870"/>
      <c r="M1164" s="870"/>
      <c r="N1164" s="870"/>
      <c r="O1164" s="870"/>
      <c r="P1164" s="870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73"/>
      <c r="E1165" s="677"/>
      <c r="F1165" s="677"/>
      <c r="G1165" s="677"/>
      <c r="H1165" s="872"/>
      <c r="I1165" s="871"/>
      <c r="J1165" s="871"/>
      <c r="K1165" s="870"/>
      <c r="L1165" s="870"/>
      <c r="M1165" s="870"/>
      <c r="N1165" s="870"/>
      <c r="O1165" s="870"/>
      <c r="P1165" s="870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73"/>
      <c r="E1166" s="677"/>
      <c r="F1166" s="677"/>
      <c r="G1166" s="677"/>
      <c r="H1166" s="872"/>
      <c r="I1166" s="871"/>
      <c r="J1166" s="871"/>
      <c r="K1166" s="870"/>
      <c r="L1166" s="870"/>
      <c r="M1166" s="870"/>
      <c r="N1166" s="870"/>
      <c r="O1166" s="870"/>
      <c r="P1166" s="870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73"/>
      <c r="E1167" s="677"/>
      <c r="F1167" s="677"/>
      <c r="G1167" s="677"/>
      <c r="H1167" s="872"/>
      <c r="I1167" s="871"/>
      <c r="J1167" s="871"/>
      <c r="K1167" s="870"/>
      <c r="L1167" s="870"/>
      <c r="M1167" s="870"/>
      <c r="N1167" s="870"/>
      <c r="O1167" s="870"/>
      <c r="P1167" s="870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73"/>
      <c r="E1168" s="677"/>
      <c r="F1168" s="677"/>
      <c r="G1168" s="677"/>
      <c r="H1168" s="872"/>
      <c r="I1168" s="871"/>
      <c r="J1168" s="871"/>
      <c r="K1168" s="870"/>
      <c r="L1168" s="870"/>
      <c r="M1168" s="870"/>
      <c r="N1168" s="870"/>
      <c r="O1168" s="870"/>
      <c r="P1168" s="870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73"/>
      <c r="E1169" s="677"/>
      <c r="F1169" s="677"/>
      <c r="G1169" s="677"/>
      <c r="H1169" s="872"/>
      <c r="I1169" s="871"/>
      <c r="J1169" s="871"/>
      <c r="K1169" s="870"/>
      <c r="L1169" s="870"/>
      <c r="M1169" s="870"/>
      <c r="N1169" s="870"/>
      <c r="O1169" s="870"/>
      <c r="P1169" s="870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73"/>
      <c r="E1170" s="677"/>
      <c r="F1170" s="677"/>
      <c r="G1170" s="677"/>
      <c r="H1170" s="872"/>
      <c r="I1170" s="871"/>
      <c r="J1170" s="871"/>
      <c r="K1170" s="870"/>
      <c r="L1170" s="870"/>
      <c r="M1170" s="870"/>
      <c r="N1170" s="870"/>
      <c r="O1170" s="870"/>
      <c r="P1170" s="870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73"/>
      <c r="E1171" s="677"/>
      <c r="F1171" s="677"/>
      <c r="G1171" s="677"/>
      <c r="H1171" s="872"/>
      <c r="I1171" s="871"/>
      <c r="J1171" s="871"/>
      <c r="K1171" s="870"/>
      <c r="L1171" s="870"/>
      <c r="M1171" s="870"/>
      <c r="N1171" s="870"/>
      <c r="O1171" s="870"/>
      <c r="P1171" s="870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73"/>
      <c r="E1172" s="677"/>
      <c r="F1172" s="677"/>
      <c r="G1172" s="677"/>
      <c r="H1172" s="872"/>
      <c r="I1172" s="871"/>
      <c r="J1172" s="871"/>
      <c r="K1172" s="870"/>
      <c r="L1172" s="870"/>
      <c r="M1172" s="870"/>
      <c r="N1172" s="870"/>
      <c r="O1172" s="870"/>
      <c r="P1172" s="870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73"/>
      <c r="E1173" s="677"/>
      <c r="F1173" s="677"/>
      <c r="G1173" s="677"/>
      <c r="H1173" s="872"/>
      <c r="I1173" s="871"/>
      <c r="J1173" s="871"/>
      <c r="K1173" s="870"/>
      <c r="L1173" s="870"/>
      <c r="M1173" s="870"/>
      <c r="N1173" s="870"/>
      <c r="O1173" s="870"/>
      <c r="P1173" s="870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73"/>
      <c r="E1174" s="677"/>
      <c r="F1174" s="677"/>
      <c r="G1174" s="677"/>
      <c r="H1174" s="872"/>
      <c r="I1174" s="871"/>
      <c r="J1174" s="871"/>
      <c r="K1174" s="870"/>
      <c r="L1174" s="870"/>
      <c r="M1174" s="870"/>
      <c r="N1174" s="870"/>
      <c r="O1174" s="870"/>
      <c r="P1174" s="870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73"/>
      <c r="E1175" s="677"/>
      <c r="F1175" s="677"/>
      <c r="G1175" s="677"/>
      <c r="H1175" s="872"/>
      <c r="I1175" s="871"/>
      <c r="J1175" s="871"/>
      <c r="K1175" s="870"/>
      <c r="L1175" s="870"/>
      <c r="M1175" s="870"/>
      <c r="N1175" s="870"/>
      <c r="O1175" s="870"/>
      <c r="P1175" s="870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73"/>
      <c r="E1176" s="677"/>
      <c r="F1176" s="677"/>
      <c r="G1176" s="677"/>
      <c r="H1176" s="872"/>
      <c r="I1176" s="871"/>
      <c r="J1176" s="871"/>
      <c r="K1176" s="870"/>
      <c r="L1176" s="870"/>
      <c r="M1176" s="870"/>
      <c r="N1176" s="870"/>
      <c r="O1176" s="870"/>
      <c r="P1176" s="870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73"/>
      <c r="E1177" s="677"/>
      <c r="F1177" s="677"/>
      <c r="G1177" s="677"/>
      <c r="H1177" s="872"/>
      <c r="I1177" s="871"/>
      <c r="J1177" s="871"/>
      <c r="K1177" s="870"/>
      <c r="L1177" s="870"/>
      <c r="M1177" s="870"/>
      <c r="N1177" s="870"/>
      <c r="O1177" s="870"/>
      <c r="P1177" s="870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73"/>
      <c r="E1178" s="677"/>
      <c r="F1178" s="677"/>
      <c r="G1178" s="677"/>
      <c r="H1178" s="872"/>
      <c r="I1178" s="871"/>
      <c r="J1178" s="871"/>
      <c r="K1178" s="870"/>
      <c r="L1178" s="870"/>
      <c r="M1178" s="870"/>
      <c r="N1178" s="870"/>
      <c r="O1178" s="870"/>
      <c r="P1178" s="870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73"/>
      <c r="E1179" s="677"/>
      <c r="F1179" s="677"/>
      <c r="G1179" s="677"/>
      <c r="H1179" s="872"/>
      <c r="I1179" s="871"/>
      <c r="J1179" s="871"/>
      <c r="K1179" s="870"/>
      <c r="L1179" s="870"/>
      <c r="M1179" s="870"/>
      <c r="N1179" s="870"/>
      <c r="O1179" s="870"/>
      <c r="P1179" s="870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73"/>
      <c r="E1180" s="677"/>
      <c r="F1180" s="677"/>
      <c r="G1180" s="677"/>
      <c r="H1180" s="872"/>
      <c r="I1180" s="871"/>
      <c r="J1180" s="871"/>
      <c r="K1180" s="870"/>
      <c r="L1180" s="870"/>
      <c r="M1180" s="870"/>
      <c r="N1180" s="870"/>
      <c r="O1180" s="870"/>
      <c r="P1180" s="870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73"/>
      <c r="E1181" s="677"/>
      <c r="F1181" s="677"/>
      <c r="G1181" s="677"/>
      <c r="H1181" s="872"/>
      <c r="I1181" s="871"/>
      <c r="J1181" s="871"/>
      <c r="K1181" s="870"/>
      <c r="L1181" s="870"/>
      <c r="M1181" s="870"/>
      <c r="N1181" s="870"/>
      <c r="O1181" s="870"/>
      <c r="P1181" s="870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73"/>
      <c r="E1182" s="677"/>
      <c r="F1182" s="677"/>
      <c r="G1182" s="677"/>
      <c r="H1182" s="872"/>
      <c r="I1182" s="871"/>
      <c r="J1182" s="871"/>
      <c r="K1182" s="870"/>
      <c r="L1182" s="870"/>
      <c r="M1182" s="870"/>
      <c r="N1182" s="870"/>
      <c r="O1182" s="870"/>
      <c r="P1182" s="870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73"/>
      <c r="E1183" s="677"/>
      <c r="F1183" s="677"/>
      <c r="G1183" s="677"/>
      <c r="H1183" s="872"/>
      <c r="I1183" s="871"/>
      <c r="J1183" s="871"/>
      <c r="K1183" s="870"/>
      <c r="L1183" s="870"/>
      <c r="M1183" s="870"/>
      <c r="N1183" s="870"/>
      <c r="O1183" s="870"/>
      <c r="P1183" s="870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73"/>
      <c r="E1184" s="677"/>
      <c r="F1184" s="677"/>
      <c r="G1184" s="677"/>
      <c r="H1184" s="872"/>
      <c r="I1184" s="871"/>
      <c r="J1184" s="871"/>
      <c r="K1184" s="870"/>
      <c r="L1184" s="870"/>
      <c r="M1184" s="870"/>
      <c r="N1184" s="870"/>
      <c r="O1184" s="870"/>
      <c r="P1184" s="870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73"/>
      <c r="E1185" s="677"/>
      <c r="F1185" s="677"/>
      <c r="G1185" s="677"/>
      <c r="H1185" s="872"/>
      <c r="I1185" s="871"/>
      <c r="J1185" s="871"/>
      <c r="K1185" s="870"/>
      <c r="L1185" s="870"/>
      <c r="M1185" s="870"/>
      <c r="N1185" s="870"/>
      <c r="O1185" s="870"/>
      <c r="P1185" s="870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73"/>
      <c r="E1186" s="677"/>
      <c r="F1186" s="677"/>
      <c r="G1186" s="677"/>
      <c r="H1186" s="872"/>
      <c r="I1186" s="871"/>
      <c r="J1186" s="871"/>
      <c r="K1186" s="870"/>
      <c r="L1186" s="870"/>
      <c r="M1186" s="870"/>
      <c r="N1186" s="870"/>
      <c r="O1186" s="870"/>
      <c r="P1186" s="870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73"/>
      <c r="E1187" s="677"/>
      <c r="F1187" s="677"/>
      <c r="G1187" s="677"/>
      <c r="H1187" s="872"/>
      <c r="I1187" s="871"/>
      <c r="J1187" s="871"/>
      <c r="K1187" s="870"/>
      <c r="L1187" s="870"/>
      <c r="M1187" s="870"/>
      <c r="N1187" s="870"/>
      <c r="O1187" s="870"/>
      <c r="P1187" s="870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73"/>
      <c r="E1188" s="677"/>
      <c r="F1188" s="677"/>
      <c r="G1188" s="677"/>
      <c r="H1188" s="872"/>
      <c r="I1188" s="871"/>
      <c r="J1188" s="871"/>
      <c r="K1188" s="870"/>
      <c r="L1188" s="870"/>
      <c r="M1188" s="870"/>
      <c r="N1188" s="870"/>
      <c r="O1188" s="870"/>
      <c r="P1188" s="870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73"/>
      <c r="E1189" s="677"/>
      <c r="F1189" s="677"/>
      <c r="G1189" s="677"/>
      <c r="H1189" s="872"/>
      <c r="I1189" s="871"/>
      <c r="J1189" s="871"/>
      <c r="K1189" s="870"/>
      <c r="L1189" s="870"/>
      <c r="M1189" s="870"/>
      <c r="N1189" s="870"/>
      <c r="O1189" s="870"/>
      <c r="P1189" s="870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73"/>
      <c r="E1190" s="677"/>
      <c r="F1190" s="677"/>
      <c r="G1190" s="677"/>
      <c r="H1190" s="872"/>
      <c r="I1190" s="871"/>
      <c r="J1190" s="871"/>
      <c r="K1190" s="870"/>
      <c r="L1190" s="870"/>
      <c r="M1190" s="870"/>
      <c r="N1190" s="870"/>
      <c r="O1190" s="870"/>
      <c r="P1190" s="870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73"/>
      <c r="E1191" s="677"/>
      <c r="F1191" s="677"/>
      <c r="G1191" s="677"/>
      <c r="H1191" s="872"/>
      <c r="I1191" s="871"/>
      <c r="J1191" s="871"/>
      <c r="K1191" s="870"/>
      <c r="L1191" s="870"/>
      <c r="M1191" s="870"/>
      <c r="N1191" s="870"/>
      <c r="O1191" s="870"/>
      <c r="P1191" s="870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73"/>
      <c r="E1192" s="677"/>
      <c r="F1192" s="677"/>
      <c r="G1192" s="677"/>
      <c r="H1192" s="872"/>
      <c r="I1192" s="871"/>
      <c r="J1192" s="871"/>
      <c r="K1192" s="870"/>
      <c r="L1192" s="870"/>
      <c r="M1192" s="870"/>
      <c r="N1192" s="870"/>
      <c r="O1192" s="870"/>
      <c r="P1192" s="870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73"/>
      <c r="E1193" s="677"/>
      <c r="F1193" s="677"/>
      <c r="G1193" s="677"/>
      <c r="H1193" s="872"/>
      <c r="I1193" s="871"/>
      <c r="J1193" s="871"/>
      <c r="K1193" s="870"/>
      <c r="L1193" s="870"/>
      <c r="M1193" s="870"/>
      <c r="N1193" s="870"/>
      <c r="O1193" s="870"/>
      <c r="P1193" s="870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73"/>
      <c r="E1194" s="677"/>
      <c r="F1194" s="677"/>
      <c r="G1194" s="677"/>
      <c r="H1194" s="872"/>
      <c r="I1194" s="871"/>
      <c r="J1194" s="871"/>
      <c r="K1194" s="870"/>
      <c r="L1194" s="870"/>
      <c r="M1194" s="870"/>
      <c r="N1194" s="870"/>
      <c r="O1194" s="870"/>
      <c r="P1194" s="870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73"/>
      <c r="E1195" s="677"/>
      <c r="F1195" s="677"/>
      <c r="G1195" s="677"/>
      <c r="H1195" s="872"/>
      <c r="I1195" s="871"/>
      <c r="J1195" s="871"/>
      <c r="K1195" s="870"/>
      <c r="L1195" s="870"/>
      <c r="M1195" s="870"/>
      <c r="N1195" s="870"/>
      <c r="O1195" s="870"/>
      <c r="P1195" s="870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73"/>
      <c r="E1196" s="677"/>
      <c r="F1196" s="677"/>
      <c r="G1196" s="677"/>
      <c r="H1196" s="872"/>
      <c r="I1196" s="871"/>
      <c r="J1196" s="871"/>
      <c r="K1196" s="870"/>
      <c r="L1196" s="870"/>
      <c r="M1196" s="870"/>
      <c r="N1196" s="870"/>
      <c r="O1196" s="870"/>
      <c r="P1196" s="870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73"/>
      <c r="E1197" s="677"/>
      <c r="F1197" s="677"/>
      <c r="G1197" s="677"/>
      <c r="H1197" s="872"/>
      <c r="I1197" s="871"/>
      <c r="J1197" s="871"/>
      <c r="K1197" s="870"/>
      <c r="L1197" s="870"/>
      <c r="M1197" s="870"/>
      <c r="N1197" s="870"/>
      <c r="O1197" s="870"/>
      <c r="P1197" s="870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73"/>
      <c r="E1198" s="677"/>
      <c r="F1198" s="677"/>
      <c r="G1198" s="677"/>
      <c r="H1198" s="872"/>
      <c r="I1198" s="871"/>
      <c r="J1198" s="871"/>
      <c r="K1198" s="870"/>
      <c r="L1198" s="870"/>
      <c r="M1198" s="870"/>
      <c r="N1198" s="870"/>
      <c r="O1198" s="870"/>
      <c r="P1198" s="870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73"/>
      <c r="E1199" s="677"/>
      <c r="F1199" s="677"/>
      <c r="G1199" s="677"/>
      <c r="H1199" s="872"/>
      <c r="I1199" s="871"/>
      <c r="J1199" s="871"/>
      <c r="K1199" s="870"/>
      <c r="L1199" s="870"/>
      <c r="M1199" s="870"/>
      <c r="N1199" s="870"/>
      <c r="O1199" s="870"/>
      <c r="P1199" s="870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73"/>
      <c r="E1200" s="677"/>
      <c r="F1200" s="677"/>
      <c r="G1200" s="677"/>
      <c r="H1200" s="872"/>
      <c r="I1200" s="871"/>
      <c r="J1200" s="871"/>
      <c r="K1200" s="870"/>
      <c r="L1200" s="870"/>
      <c r="M1200" s="870"/>
      <c r="N1200" s="870"/>
      <c r="O1200" s="870"/>
      <c r="P1200" s="870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73"/>
      <c r="E1201" s="677"/>
      <c r="F1201" s="677"/>
      <c r="G1201" s="677"/>
      <c r="H1201" s="872"/>
      <c r="I1201" s="871"/>
      <c r="J1201" s="871"/>
      <c r="K1201" s="870"/>
      <c r="L1201" s="870"/>
      <c r="M1201" s="870"/>
      <c r="N1201" s="870"/>
      <c r="O1201" s="870"/>
      <c r="P1201" s="870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73"/>
      <c r="E1202" s="677"/>
      <c r="F1202" s="677"/>
      <c r="G1202" s="677"/>
      <c r="H1202" s="872"/>
      <c r="I1202" s="871"/>
      <c r="J1202" s="871"/>
      <c r="K1202" s="870"/>
      <c r="L1202" s="870"/>
      <c r="M1202" s="870"/>
      <c r="N1202" s="870"/>
      <c r="O1202" s="870"/>
      <c r="P1202" s="870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73"/>
      <c r="E1203" s="677"/>
      <c r="F1203" s="677"/>
      <c r="G1203" s="677"/>
      <c r="H1203" s="872"/>
      <c r="I1203" s="871"/>
      <c r="J1203" s="871"/>
      <c r="K1203" s="870"/>
      <c r="L1203" s="870"/>
      <c r="M1203" s="870"/>
      <c r="N1203" s="870"/>
      <c r="O1203" s="870"/>
      <c r="P1203" s="870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73"/>
      <c r="E1204" s="677"/>
      <c r="F1204" s="677"/>
      <c r="G1204" s="677"/>
      <c r="H1204" s="872"/>
      <c r="I1204" s="871"/>
      <c r="J1204" s="871"/>
      <c r="K1204" s="870"/>
      <c r="L1204" s="870"/>
      <c r="M1204" s="870"/>
      <c r="N1204" s="870"/>
      <c r="O1204" s="870"/>
      <c r="P1204" s="870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73"/>
      <c r="E1205" s="677"/>
      <c r="F1205" s="677"/>
      <c r="G1205" s="677"/>
      <c r="H1205" s="872"/>
      <c r="I1205" s="871"/>
      <c r="J1205" s="871"/>
      <c r="K1205" s="870"/>
      <c r="L1205" s="870"/>
      <c r="M1205" s="870"/>
      <c r="N1205" s="870"/>
      <c r="O1205" s="870"/>
      <c r="P1205" s="870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73"/>
      <c r="E1206" s="677"/>
      <c r="F1206" s="677"/>
      <c r="G1206" s="677"/>
      <c r="H1206" s="872"/>
      <c r="I1206" s="871"/>
      <c r="J1206" s="871"/>
      <c r="K1206" s="870"/>
      <c r="L1206" s="870"/>
      <c r="M1206" s="870"/>
      <c r="N1206" s="870"/>
      <c r="O1206" s="870"/>
      <c r="P1206" s="870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73"/>
      <c r="E1207" s="677"/>
      <c r="F1207" s="677"/>
      <c r="G1207" s="677"/>
      <c r="H1207" s="872"/>
      <c r="I1207" s="871"/>
      <c r="J1207" s="871"/>
      <c r="K1207" s="870"/>
      <c r="L1207" s="870"/>
      <c r="M1207" s="870"/>
      <c r="N1207" s="870"/>
      <c r="O1207" s="870"/>
      <c r="P1207" s="870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73"/>
      <c r="E1208" s="677"/>
      <c r="F1208" s="677"/>
      <c r="G1208" s="677"/>
      <c r="H1208" s="872"/>
      <c r="I1208" s="871"/>
      <c r="J1208" s="871"/>
      <c r="K1208" s="870"/>
      <c r="L1208" s="870"/>
      <c r="M1208" s="870"/>
      <c r="N1208" s="870"/>
      <c r="O1208" s="870"/>
      <c r="P1208" s="870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73"/>
      <c r="E1209" s="677"/>
      <c r="F1209" s="677"/>
      <c r="G1209" s="677"/>
      <c r="H1209" s="872"/>
      <c r="I1209" s="871"/>
      <c r="J1209" s="871"/>
      <c r="K1209" s="870"/>
      <c r="L1209" s="870"/>
      <c r="M1209" s="870"/>
      <c r="N1209" s="870"/>
      <c r="O1209" s="870"/>
      <c r="P1209" s="870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73"/>
      <c r="E1210" s="677"/>
      <c r="F1210" s="677"/>
      <c r="G1210" s="677"/>
      <c r="H1210" s="872"/>
      <c r="I1210" s="871"/>
      <c r="J1210" s="871"/>
      <c r="K1210" s="870"/>
      <c r="L1210" s="870"/>
      <c r="M1210" s="870"/>
      <c r="N1210" s="870"/>
      <c r="O1210" s="870"/>
      <c r="P1210" s="870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73"/>
      <c r="E1211" s="677"/>
      <c r="F1211" s="677"/>
      <c r="G1211" s="677"/>
      <c r="H1211" s="872"/>
      <c r="I1211" s="871"/>
      <c r="J1211" s="871"/>
      <c r="K1211" s="870"/>
      <c r="L1211" s="870"/>
      <c r="M1211" s="870"/>
      <c r="N1211" s="870"/>
      <c r="O1211" s="870"/>
      <c r="P1211" s="870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73"/>
      <c r="E1212" s="677"/>
      <c r="F1212" s="677"/>
      <c r="G1212" s="677"/>
      <c r="H1212" s="872"/>
      <c r="I1212" s="871"/>
      <c r="J1212" s="871"/>
      <c r="K1212" s="870"/>
      <c r="L1212" s="870"/>
      <c r="M1212" s="870"/>
      <c r="N1212" s="870"/>
      <c r="O1212" s="870"/>
      <c r="P1212" s="870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73"/>
      <c r="E1213" s="677"/>
      <c r="F1213" s="677"/>
      <c r="G1213" s="677"/>
      <c r="H1213" s="872"/>
      <c r="I1213" s="871"/>
      <c r="J1213" s="871"/>
      <c r="K1213" s="870"/>
      <c r="L1213" s="870"/>
      <c r="M1213" s="870"/>
      <c r="N1213" s="870"/>
      <c r="O1213" s="870"/>
      <c r="P1213" s="870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73"/>
      <c r="E1214" s="677"/>
      <c r="F1214" s="677"/>
      <c r="G1214" s="677"/>
      <c r="H1214" s="872"/>
      <c r="I1214" s="871"/>
      <c r="J1214" s="871"/>
      <c r="K1214" s="870"/>
      <c r="L1214" s="870"/>
      <c r="M1214" s="870"/>
      <c r="N1214" s="870"/>
      <c r="O1214" s="870"/>
      <c r="P1214" s="870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73"/>
      <c r="E1215" s="677"/>
      <c r="F1215" s="677"/>
      <c r="G1215" s="677"/>
      <c r="H1215" s="872"/>
      <c r="I1215" s="871"/>
      <c r="J1215" s="871"/>
      <c r="K1215" s="870"/>
      <c r="L1215" s="870"/>
      <c r="M1215" s="870"/>
      <c r="N1215" s="870"/>
      <c r="O1215" s="870"/>
      <c r="P1215" s="870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73"/>
      <c r="E1216" s="677"/>
      <c r="F1216" s="677"/>
      <c r="G1216" s="677"/>
      <c r="H1216" s="872"/>
      <c r="I1216" s="871"/>
      <c r="J1216" s="871"/>
      <c r="K1216" s="870"/>
      <c r="L1216" s="870"/>
      <c r="M1216" s="870"/>
      <c r="N1216" s="870"/>
      <c r="O1216" s="870"/>
      <c r="P1216" s="870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73"/>
      <c r="E1217" s="677"/>
      <c r="F1217" s="677"/>
      <c r="G1217" s="677"/>
      <c r="H1217" s="872"/>
      <c r="I1217" s="871"/>
      <c r="J1217" s="871"/>
      <c r="K1217" s="870"/>
      <c r="L1217" s="870"/>
      <c r="M1217" s="870"/>
      <c r="N1217" s="870"/>
      <c r="O1217" s="870"/>
      <c r="P1217" s="870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73"/>
      <c r="E1218" s="677"/>
      <c r="F1218" s="677"/>
      <c r="G1218" s="677"/>
      <c r="H1218" s="872"/>
      <c r="I1218" s="871"/>
      <c r="J1218" s="871"/>
      <c r="K1218" s="870"/>
      <c r="L1218" s="870"/>
      <c r="M1218" s="870"/>
      <c r="N1218" s="870"/>
      <c r="O1218" s="870"/>
      <c r="P1218" s="870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73"/>
      <c r="E1219" s="677"/>
      <c r="F1219" s="677"/>
      <c r="G1219" s="677"/>
      <c r="H1219" s="872"/>
      <c r="I1219" s="871"/>
      <c r="J1219" s="871"/>
      <c r="K1219" s="870"/>
      <c r="L1219" s="870"/>
      <c r="M1219" s="870"/>
      <c r="N1219" s="870"/>
      <c r="O1219" s="870"/>
      <c r="P1219" s="870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73"/>
      <c r="E1220" s="677"/>
      <c r="F1220" s="677"/>
      <c r="G1220" s="677"/>
      <c r="H1220" s="872"/>
      <c r="I1220" s="871"/>
      <c r="J1220" s="871"/>
      <c r="K1220" s="870"/>
      <c r="L1220" s="870"/>
      <c r="M1220" s="870"/>
      <c r="N1220" s="870"/>
      <c r="O1220" s="870"/>
      <c r="P1220" s="870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73"/>
      <c r="E1221" s="677"/>
      <c r="F1221" s="677"/>
      <c r="G1221" s="677"/>
      <c r="H1221" s="872"/>
      <c r="I1221" s="871"/>
      <c r="J1221" s="871"/>
      <c r="K1221" s="870"/>
      <c r="L1221" s="870"/>
      <c r="M1221" s="870"/>
      <c r="N1221" s="870"/>
      <c r="O1221" s="870"/>
      <c r="P1221" s="870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73"/>
      <c r="E1222" s="677"/>
      <c r="F1222" s="677"/>
      <c r="G1222" s="677"/>
      <c r="H1222" s="872"/>
      <c r="I1222" s="871"/>
      <c r="J1222" s="871"/>
      <c r="K1222" s="870"/>
      <c r="L1222" s="870"/>
      <c r="M1222" s="870"/>
      <c r="N1222" s="870"/>
      <c r="O1222" s="870"/>
      <c r="P1222" s="870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73"/>
      <c r="E1223" s="677"/>
      <c r="F1223" s="677"/>
      <c r="G1223" s="677"/>
      <c r="H1223" s="872"/>
      <c r="I1223" s="871"/>
      <c r="J1223" s="871"/>
      <c r="K1223" s="870"/>
      <c r="L1223" s="870"/>
      <c r="M1223" s="870"/>
      <c r="N1223" s="870"/>
      <c r="O1223" s="870"/>
      <c r="P1223" s="870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73"/>
      <c r="E1224" s="677"/>
      <c r="F1224" s="677"/>
      <c r="G1224" s="677"/>
      <c r="H1224" s="872"/>
      <c r="I1224" s="871"/>
      <c r="J1224" s="871"/>
      <c r="K1224" s="870"/>
      <c r="L1224" s="870"/>
      <c r="M1224" s="870"/>
      <c r="N1224" s="870"/>
      <c r="O1224" s="870"/>
      <c r="P1224" s="870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73"/>
      <c r="E1225" s="677"/>
      <c r="F1225" s="677"/>
      <c r="G1225" s="677"/>
      <c r="H1225" s="872"/>
      <c r="I1225" s="871"/>
      <c r="J1225" s="871"/>
      <c r="K1225" s="870"/>
      <c r="L1225" s="870"/>
      <c r="M1225" s="870"/>
      <c r="N1225" s="870"/>
      <c r="O1225" s="870"/>
      <c r="P1225" s="870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73"/>
      <c r="E1226" s="677"/>
      <c r="F1226" s="677"/>
      <c r="G1226" s="677"/>
      <c r="H1226" s="872"/>
      <c r="I1226" s="871"/>
      <c r="J1226" s="871"/>
      <c r="K1226" s="870"/>
      <c r="L1226" s="870"/>
      <c r="M1226" s="870"/>
      <c r="N1226" s="870"/>
      <c r="O1226" s="870"/>
      <c r="P1226" s="870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73"/>
      <c r="E1227" s="677"/>
      <c r="F1227" s="677"/>
      <c r="G1227" s="677"/>
      <c r="H1227" s="872"/>
      <c r="I1227" s="871"/>
      <c r="J1227" s="871"/>
      <c r="K1227" s="870"/>
      <c r="L1227" s="870"/>
      <c r="M1227" s="870"/>
      <c r="N1227" s="870"/>
      <c r="O1227" s="870"/>
      <c r="P1227" s="870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73"/>
      <c r="E1228" s="677"/>
      <c r="F1228" s="677"/>
      <c r="G1228" s="677"/>
      <c r="H1228" s="872"/>
      <c r="I1228" s="871"/>
      <c r="J1228" s="871"/>
      <c r="K1228" s="870"/>
      <c r="L1228" s="870"/>
      <c r="M1228" s="870"/>
      <c r="N1228" s="870"/>
      <c r="O1228" s="870"/>
      <c r="P1228" s="870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73"/>
      <c r="E1229" s="677"/>
      <c r="F1229" s="677"/>
      <c r="G1229" s="677"/>
      <c r="H1229" s="872"/>
      <c r="I1229" s="871"/>
      <c r="J1229" s="871"/>
      <c r="K1229" s="870"/>
      <c r="L1229" s="870"/>
      <c r="M1229" s="870"/>
      <c r="N1229" s="870"/>
      <c r="O1229" s="870"/>
      <c r="P1229" s="870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73"/>
      <c r="E1230" s="677"/>
      <c r="F1230" s="677"/>
      <c r="G1230" s="677"/>
      <c r="H1230" s="872"/>
      <c r="I1230" s="871"/>
      <c r="J1230" s="871"/>
      <c r="K1230" s="870"/>
      <c r="L1230" s="870"/>
      <c r="M1230" s="870"/>
      <c r="N1230" s="870"/>
      <c r="O1230" s="870"/>
      <c r="P1230" s="870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73"/>
      <c r="E1231" s="677"/>
      <c r="F1231" s="677"/>
      <c r="G1231" s="677"/>
      <c r="H1231" s="872"/>
      <c r="I1231" s="871"/>
      <c r="J1231" s="871"/>
      <c r="K1231" s="870"/>
      <c r="L1231" s="870"/>
      <c r="M1231" s="870"/>
      <c r="N1231" s="870"/>
      <c r="O1231" s="870"/>
      <c r="P1231" s="870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73"/>
      <c r="E1232" s="677"/>
      <c r="F1232" s="677"/>
      <c r="G1232" s="677"/>
      <c r="H1232" s="872"/>
      <c r="I1232" s="871"/>
      <c r="J1232" s="871"/>
      <c r="K1232" s="870"/>
      <c r="L1232" s="870"/>
      <c r="M1232" s="870"/>
      <c r="N1232" s="870"/>
      <c r="O1232" s="870"/>
      <c r="P1232" s="870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73"/>
      <c r="E1233" s="677"/>
      <c r="F1233" s="677"/>
      <c r="G1233" s="677"/>
      <c r="H1233" s="872"/>
      <c r="I1233" s="871"/>
      <c r="J1233" s="871"/>
      <c r="K1233" s="870"/>
      <c r="L1233" s="870"/>
      <c r="M1233" s="870"/>
      <c r="N1233" s="870"/>
      <c r="O1233" s="870"/>
      <c r="P1233" s="870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73"/>
      <c r="E1234" s="677"/>
      <c r="F1234" s="677"/>
      <c r="G1234" s="677"/>
      <c r="H1234" s="872"/>
      <c r="I1234" s="871"/>
      <c r="J1234" s="871"/>
      <c r="K1234" s="870"/>
      <c r="L1234" s="870"/>
      <c r="M1234" s="870"/>
      <c r="N1234" s="870"/>
      <c r="O1234" s="870"/>
      <c r="P1234" s="870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73"/>
      <c r="E1235" s="677"/>
      <c r="F1235" s="677"/>
      <c r="G1235" s="677"/>
      <c r="H1235" s="872"/>
      <c r="I1235" s="871"/>
      <c r="J1235" s="871"/>
      <c r="K1235" s="870"/>
      <c r="L1235" s="870"/>
      <c r="M1235" s="870"/>
      <c r="N1235" s="870"/>
      <c r="O1235" s="870"/>
      <c r="P1235" s="870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73"/>
      <c r="E1236" s="677"/>
      <c r="F1236" s="677"/>
      <c r="G1236" s="677"/>
      <c r="H1236" s="872"/>
      <c r="I1236" s="871"/>
      <c r="J1236" s="871"/>
      <c r="K1236" s="870"/>
      <c r="L1236" s="870"/>
      <c r="M1236" s="870"/>
      <c r="N1236" s="870"/>
      <c r="O1236" s="870"/>
      <c r="P1236" s="870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73"/>
      <c r="E1237" s="677"/>
      <c r="F1237" s="677"/>
      <c r="G1237" s="677"/>
      <c r="H1237" s="872"/>
      <c r="I1237" s="871"/>
      <c r="J1237" s="871"/>
      <c r="K1237" s="870"/>
      <c r="L1237" s="870"/>
      <c r="M1237" s="870"/>
      <c r="N1237" s="870"/>
      <c r="O1237" s="870"/>
      <c r="P1237" s="870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73"/>
      <c r="E1238" s="677"/>
      <c r="F1238" s="677"/>
      <c r="G1238" s="677"/>
      <c r="H1238" s="872"/>
      <c r="I1238" s="871"/>
      <c r="J1238" s="871"/>
      <c r="K1238" s="870"/>
      <c r="L1238" s="870"/>
      <c r="M1238" s="870"/>
      <c r="N1238" s="870"/>
      <c r="O1238" s="870"/>
      <c r="P1238" s="870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73"/>
      <c r="E1239" s="677"/>
      <c r="F1239" s="677"/>
      <c r="G1239" s="677"/>
      <c r="H1239" s="872"/>
      <c r="I1239" s="871"/>
      <c r="J1239" s="871"/>
      <c r="K1239" s="870"/>
      <c r="L1239" s="870"/>
      <c r="M1239" s="870"/>
      <c r="N1239" s="870"/>
      <c r="O1239" s="870"/>
      <c r="P1239" s="870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73"/>
      <c r="E1240" s="677"/>
      <c r="F1240" s="677"/>
      <c r="G1240" s="677"/>
      <c r="H1240" s="872"/>
      <c r="I1240" s="871"/>
      <c r="J1240" s="871"/>
      <c r="K1240" s="870"/>
      <c r="L1240" s="870"/>
      <c r="M1240" s="870"/>
      <c r="N1240" s="870"/>
      <c r="O1240" s="870"/>
      <c r="P1240" s="870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73"/>
      <c r="E1241" s="677"/>
      <c r="F1241" s="677"/>
      <c r="G1241" s="677"/>
      <c r="H1241" s="872"/>
      <c r="I1241" s="871"/>
      <c r="J1241" s="871"/>
      <c r="K1241" s="870"/>
      <c r="L1241" s="870"/>
      <c r="M1241" s="870"/>
      <c r="N1241" s="870"/>
      <c r="O1241" s="870"/>
      <c r="P1241" s="870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73"/>
      <c r="E1242" s="677"/>
      <c r="F1242" s="677"/>
      <c r="G1242" s="677"/>
      <c r="H1242" s="872"/>
      <c r="I1242" s="871"/>
      <c r="J1242" s="871"/>
      <c r="K1242" s="870"/>
      <c r="L1242" s="870"/>
      <c r="M1242" s="870"/>
      <c r="N1242" s="870"/>
      <c r="O1242" s="870"/>
      <c r="P1242" s="870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73"/>
      <c r="E1243" s="677"/>
      <c r="F1243" s="677"/>
      <c r="G1243" s="677"/>
      <c r="H1243" s="872"/>
      <c r="I1243" s="871"/>
      <c r="J1243" s="871"/>
      <c r="K1243" s="870"/>
      <c r="L1243" s="870"/>
      <c r="M1243" s="870"/>
      <c r="N1243" s="870"/>
      <c r="O1243" s="870"/>
      <c r="P1243" s="870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73"/>
      <c r="E1244" s="677"/>
      <c r="F1244" s="677"/>
      <c r="G1244" s="677"/>
      <c r="H1244" s="872"/>
      <c r="I1244" s="871"/>
      <c r="J1244" s="871"/>
      <c r="K1244" s="870"/>
      <c r="L1244" s="870"/>
      <c r="M1244" s="870"/>
      <c r="N1244" s="870"/>
      <c r="O1244" s="870"/>
      <c r="P1244" s="870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73"/>
      <c r="E1245" s="677"/>
      <c r="F1245" s="677"/>
      <c r="G1245" s="677"/>
      <c r="H1245" s="872"/>
      <c r="I1245" s="871"/>
      <c r="J1245" s="871"/>
      <c r="K1245" s="870"/>
      <c r="L1245" s="870"/>
      <c r="M1245" s="870"/>
      <c r="N1245" s="870"/>
      <c r="O1245" s="870"/>
      <c r="P1245" s="870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73"/>
      <c r="E1246" s="677"/>
      <c r="F1246" s="677"/>
      <c r="G1246" s="677"/>
      <c r="H1246" s="872"/>
      <c r="I1246" s="871"/>
      <c r="J1246" s="871"/>
      <c r="K1246" s="870"/>
      <c r="L1246" s="870"/>
      <c r="M1246" s="870"/>
      <c r="N1246" s="870"/>
      <c r="O1246" s="870"/>
      <c r="P1246" s="870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73"/>
      <c r="E1247" s="677"/>
      <c r="F1247" s="677"/>
      <c r="G1247" s="677"/>
      <c r="H1247" s="872"/>
      <c r="I1247" s="871"/>
      <c r="J1247" s="871"/>
      <c r="K1247" s="870"/>
      <c r="L1247" s="870"/>
      <c r="M1247" s="870"/>
      <c r="N1247" s="870"/>
      <c r="O1247" s="870"/>
      <c r="P1247" s="870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73"/>
      <c r="E1248" s="677"/>
      <c r="F1248" s="677"/>
      <c r="G1248" s="677"/>
      <c r="H1248" s="872"/>
      <c r="I1248" s="871"/>
      <c r="J1248" s="871"/>
      <c r="K1248" s="870"/>
      <c r="L1248" s="870"/>
      <c r="M1248" s="870"/>
      <c r="N1248" s="870"/>
      <c r="O1248" s="870"/>
      <c r="P1248" s="870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73"/>
      <c r="E1249" s="677"/>
      <c r="F1249" s="677"/>
      <c r="G1249" s="677"/>
      <c r="H1249" s="872"/>
      <c r="I1249" s="871"/>
      <c r="J1249" s="871"/>
      <c r="K1249" s="870"/>
      <c r="L1249" s="870"/>
      <c r="M1249" s="870"/>
      <c r="N1249" s="870"/>
      <c r="O1249" s="870"/>
      <c r="P1249" s="870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73"/>
      <c r="E1250" s="677"/>
      <c r="F1250" s="677"/>
      <c r="G1250" s="677"/>
      <c r="H1250" s="872"/>
      <c r="I1250" s="871"/>
      <c r="J1250" s="871"/>
      <c r="K1250" s="870"/>
      <c r="L1250" s="870"/>
      <c r="M1250" s="870"/>
      <c r="N1250" s="870"/>
      <c r="O1250" s="870"/>
      <c r="P1250" s="870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73"/>
      <c r="E1251" s="677"/>
      <c r="F1251" s="677"/>
      <c r="G1251" s="677"/>
      <c r="H1251" s="872"/>
      <c r="I1251" s="871"/>
      <c r="J1251" s="871"/>
      <c r="K1251" s="870"/>
      <c r="L1251" s="870"/>
      <c r="M1251" s="870"/>
      <c r="N1251" s="870"/>
      <c r="O1251" s="870"/>
      <c r="P1251" s="870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73"/>
      <c r="E1252" s="677"/>
      <c r="F1252" s="677"/>
      <c r="G1252" s="677"/>
      <c r="H1252" s="872"/>
      <c r="I1252" s="871"/>
      <c r="J1252" s="871"/>
      <c r="K1252" s="870"/>
      <c r="L1252" s="870"/>
      <c r="M1252" s="870"/>
      <c r="N1252" s="870"/>
      <c r="O1252" s="870"/>
      <c r="P1252" s="870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73"/>
      <c r="E1253" s="677"/>
      <c r="F1253" s="677"/>
      <c r="G1253" s="677"/>
      <c r="H1253" s="872"/>
      <c r="I1253" s="871"/>
      <c r="J1253" s="871"/>
      <c r="K1253" s="870"/>
      <c r="L1253" s="870"/>
      <c r="M1253" s="870"/>
      <c r="N1253" s="870"/>
      <c r="O1253" s="870"/>
      <c r="P1253" s="870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73"/>
      <c r="E1254" s="677"/>
      <c r="F1254" s="677"/>
      <c r="G1254" s="677"/>
      <c r="H1254" s="872"/>
      <c r="I1254" s="871"/>
      <c r="J1254" s="871"/>
      <c r="K1254" s="870"/>
      <c r="L1254" s="870"/>
      <c r="M1254" s="870"/>
      <c r="N1254" s="870"/>
      <c r="O1254" s="870"/>
      <c r="P1254" s="870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73"/>
      <c r="E1255" s="677"/>
      <c r="F1255" s="677"/>
      <c r="G1255" s="677"/>
      <c r="H1255" s="872"/>
      <c r="I1255" s="871"/>
      <c r="J1255" s="871"/>
      <c r="K1255" s="870"/>
      <c r="L1255" s="870"/>
      <c r="M1255" s="870"/>
      <c r="N1255" s="870"/>
      <c r="O1255" s="870"/>
      <c r="P1255" s="870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73"/>
      <c r="E1256" s="677"/>
      <c r="F1256" s="677"/>
      <c r="G1256" s="677"/>
      <c r="H1256" s="872"/>
      <c r="I1256" s="871"/>
      <c r="J1256" s="871"/>
      <c r="K1256" s="870"/>
      <c r="L1256" s="870"/>
      <c r="M1256" s="870"/>
      <c r="N1256" s="870"/>
      <c r="O1256" s="870"/>
      <c r="P1256" s="870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73"/>
      <c r="E1257" s="677"/>
      <c r="F1257" s="677"/>
      <c r="G1257" s="677"/>
      <c r="H1257" s="872"/>
      <c r="I1257" s="871"/>
      <c r="J1257" s="871"/>
      <c r="K1257" s="870"/>
      <c r="L1257" s="870"/>
      <c r="M1257" s="870"/>
      <c r="N1257" s="870"/>
      <c r="O1257" s="870"/>
      <c r="P1257" s="870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73"/>
      <c r="E1258" s="677"/>
      <c r="F1258" s="677"/>
      <c r="G1258" s="677"/>
      <c r="H1258" s="872"/>
      <c r="I1258" s="871"/>
      <c r="J1258" s="871"/>
      <c r="K1258" s="870"/>
      <c r="L1258" s="870"/>
      <c r="M1258" s="870"/>
      <c r="N1258" s="870"/>
      <c r="O1258" s="870"/>
      <c r="P1258" s="870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73"/>
      <c r="E1259" s="677"/>
      <c r="F1259" s="677"/>
      <c r="G1259" s="677"/>
      <c r="H1259" s="872"/>
      <c r="I1259" s="871"/>
      <c r="J1259" s="871"/>
      <c r="K1259" s="870"/>
      <c r="L1259" s="870"/>
      <c r="M1259" s="870"/>
      <c r="N1259" s="870"/>
      <c r="O1259" s="870"/>
      <c r="P1259" s="870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73"/>
      <c r="E1260" s="677"/>
      <c r="F1260" s="677"/>
      <c r="G1260" s="677"/>
      <c r="H1260" s="872"/>
      <c r="I1260" s="871"/>
      <c r="J1260" s="871"/>
      <c r="K1260" s="870"/>
      <c r="L1260" s="870"/>
      <c r="M1260" s="870"/>
      <c r="N1260" s="870"/>
      <c r="O1260" s="870"/>
      <c r="P1260" s="870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73"/>
      <c r="E1261" s="677"/>
      <c r="F1261" s="677"/>
      <c r="G1261" s="677"/>
      <c r="H1261" s="872"/>
      <c r="I1261" s="871"/>
      <c r="J1261" s="871"/>
      <c r="K1261" s="870"/>
      <c r="L1261" s="870"/>
      <c r="M1261" s="870"/>
      <c r="N1261" s="870"/>
      <c r="O1261" s="870"/>
      <c r="P1261" s="870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73"/>
      <c r="E1262" s="677"/>
      <c r="F1262" s="677"/>
      <c r="G1262" s="677"/>
      <c r="H1262" s="872"/>
      <c r="I1262" s="871"/>
      <c r="J1262" s="871"/>
      <c r="K1262" s="870"/>
      <c r="L1262" s="870"/>
      <c r="M1262" s="870"/>
      <c r="N1262" s="870"/>
      <c r="O1262" s="870"/>
      <c r="P1262" s="870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73"/>
      <c r="E1263" s="677"/>
      <c r="F1263" s="677"/>
      <c r="G1263" s="677"/>
      <c r="H1263" s="872"/>
      <c r="I1263" s="871"/>
      <c r="J1263" s="871"/>
      <c r="K1263" s="870"/>
      <c r="L1263" s="870"/>
      <c r="M1263" s="870"/>
      <c r="N1263" s="870"/>
      <c r="O1263" s="870"/>
      <c r="P1263" s="870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73"/>
      <c r="E1264" s="677"/>
      <c r="F1264" s="677"/>
      <c r="G1264" s="677"/>
      <c r="H1264" s="872"/>
      <c r="I1264" s="871"/>
      <c r="J1264" s="871"/>
      <c r="K1264" s="870"/>
      <c r="L1264" s="870"/>
      <c r="M1264" s="870"/>
      <c r="N1264" s="870"/>
      <c r="O1264" s="870"/>
      <c r="P1264" s="870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73"/>
      <c r="E1265" s="677"/>
      <c r="F1265" s="677"/>
      <c r="G1265" s="677"/>
      <c r="H1265" s="872"/>
      <c r="I1265" s="871"/>
      <c r="J1265" s="871"/>
      <c r="K1265" s="870"/>
      <c r="L1265" s="870"/>
      <c r="M1265" s="870"/>
      <c r="N1265" s="870"/>
      <c r="O1265" s="870"/>
      <c r="P1265" s="870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73"/>
      <c r="E1266" s="677"/>
      <c r="F1266" s="677"/>
      <c r="G1266" s="677"/>
      <c r="H1266" s="872"/>
      <c r="I1266" s="871"/>
      <c r="J1266" s="871"/>
      <c r="K1266" s="870"/>
      <c r="L1266" s="870"/>
      <c r="M1266" s="870"/>
      <c r="N1266" s="870"/>
      <c r="O1266" s="870"/>
      <c r="P1266" s="870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73"/>
      <c r="E1267" s="677"/>
      <c r="F1267" s="677"/>
      <c r="G1267" s="677"/>
      <c r="H1267" s="872"/>
      <c r="I1267" s="871"/>
      <c r="J1267" s="871"/>
      <c r="K1267" s="870"/>
      <c r="L1267" s="870"/>
      <c r="M1267" s="870"/>
      <c r="N1267" s="870"/>
      <c r="O1267" s="870"/>
      <c r="P1267" s="870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73"/>
      <c r="E1268" s="677"/>
      <c r="F1268" s="677"/>
      <c r="G1268" s="677"/>
      <c r="H1268" s="872"/>
      <c r="I1268" s="871"/>
      <c r="J1268" s="871"/>
      <c r="K1268" s="870"/>
      <c r="L1268" s="870"/>
      <c r="M1268" s="870"/>
      <c r="N1268" s="870"/>
      <c r="O1268" s="870"/>
      <c r="P1268" s="870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73"/>
      <c r="E1269" s="677"/>
      <c r="F1269" s="677"/>
      <c r="G1269" s="677"/>
      <c r="H1269" s="872"/>
      <c r="I1269" s="871"/>
      <c r="J1269" s="871"/>
      <c r="K1269" s="870"/>
      <c r="L1269" s="870"/>
      <c r="M1269" s="870"/>
      <c r="N1269" s="870"/>
      <c r="O1269" s="870"/>
      <c r="P1269" s="870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73"/>
      <c r="E1270" s="677"/>
      <c r="F1270" s="677"/>
      <c r="G1270" s="677"/>
      <c r="H1270" s="872"/>
      <c r="I1270" s="871"/>
      <c r="J1270" s="871"/>
      <c r="K1270" s="870"/>
      <c r="L1270" s="870"/>
      <c r="M1270" s="870"/>
      <c r="N1270" s="870"/>
      <c r="O1270" s="870"/>
      <c r="P1270" s="870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73"/>
      <c r="E1271" s="677"/>
      <c r="F1271" s="677"/>
      <c r="G1271" s="677"/>
      <c r="H1271" s="872"/>
      <c r="I1271" s="871"/>
      <c r="J1271" s="871"/>
      <c r="K1271" s="870"/>
      <c r="L1271" s="870"/>
      <c r="M1271" s="870"/>
      <c r="N1271" s="870"/>
      <c r="O1271" s="870"/>
      <c r="P1271" s="870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73"/>
      <c r="E1272" s="677"/>
      <c r="F1272" s="677"/>
      <c r="G1272" s="677"/>
      <c r="H1272" s="872"/>
      <c r="I1272" s="871"/>
      <c r="J1272" s="871"/>
      <c r="K1272" s="870"/>
      <c r="L1272" s="870"/>
      <c r="M1272" s="870"/>
      <c r="N1272" s="870"/>
      <c r="O1272" s="870"/>
      <c r="P1272" s="870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73"/>
      <c r="E1273" s="677"/>
      <c r="F1273" s="677"/>
      <c r="G1273" s="677"/>
      <c r="H1273" s="872"/>
      <c r="I1273" s="871"/>
      <c r="J1273" s="871"/>
      <c r="K1273" s="870"/>
      <c r="L1273" s="870"/>
      <c r="M1273" s="870"/>
      <c r="N1273" s="870"/>
      <c r="O1273" s="870"/>
      <c r="P1273" s="870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73"/>
      <c r="E1274" s="677"/>
      <c r="F1274" s="677"/>
      <c r="G1274" s="677"/>
      <c r="H1274" s="872"/>
      <c r="I1274" s="871"/>
      <c r="J1274" s="871"/>
      <c r="K1274" s="870"/>
      <c r="L1274" s="870"/>
      <c r="M1274" s="870"/>
      <c r="N1274" s="870"/>
      <c r="O1274" s="870"/>
      <c r="P1274" s="870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73"/>
      <c r="E1275" s="677"/>
      <c r="F1275" s="677"/>
      <c r="G1275" s="677"/>
      <c r="H1275" s="872"/>
      <c r="I1275" s="871"/>
      <c r="J1275" s="871"/>
      <c r="K1275" s="870"/>
      <c r="L1275" s="870"/>
      <c r="M1275" s="870"/>
      <c r="N1275" s="870"/>
      <c r="O1275" s="870"/>
      <c r="P1275" s="870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73"/>
      <c r="E1276" s="677"/>
      <c r="F1276" s="677"/>
      <c r="G1276" s="677"/>
      <c r="H1276" s="872"/>
      <c r="I1276" s="871"/>
      <c r="J1276" s="871"/>
      <c r="K1276" s="870"/>
      <c r="L1276" s="870"/>
      <c r="M1276" s="870"/>
      <c r="N1276" s="870"/>
      <c r="O1276" s="870"/>
      <c r="P1276" s="870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73"/>
      <c r="E1277" s="677"/>
      <c r="F1277" s="677"/>
      <c r="G1277" s="677"/>
      <c r="H1277" s="872"/>
      <c r="I1277" s="871"/>
      <c r="J1277" s="871"/>
      <c r="K1277" s="870"/>
      <c r="L1277" s="870"/>
      <c r="M1277" s="870"/>
      <c r="N1277" s="870"/>
      <c r="O1277" s="870"/>
      <c r="P1277" s="870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73"/>
      <c r="E1278" s="677"/>
      <c r="F1278" s="677"/>
      <c r="G1278" s="677"/>
      <c r="H1278" s="872"/>
      <c r="I1278" s="871"/>
      <c r="J1278" s="871"/>
      <c r="K1278" s="870"/>
      <c r="L1278" s="870"/>
      <c r="M1278" s="870"/>
      <c r="N1278" s="870"/>
      <c r="O1278" s="870"/>
      <c r="P1278" s="870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73"/>
      <c r="E1279" s="677"/>
      <c r="F1279" s="677"/>
      <c r="G1279" s="677"/>
      <c r="H1279" s="872"/>
      <c r="I1279" s="871"/>
      <c r="J1279" s="871"/>
      <c r="K1279" s="870"/>
      <c r="L1279" s="870"/>
      <c r="M1279" s="870"/>
      <c r="N1279" s="870"/>
      <c r="O1279" s="870"/>
      <c r="P1279" s="870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73"/>
      <c r="E1280" s="677"/>
      <c r="F1280" s="677"/>
      <c r="G1280" s="677"/>
      <c r="H1280" s="872"/>
      <c r="I1280" s="871"/>
      <c r="J1280" s="871"/>
      <c r="K1280" s="870"/>
      <c r="L1280" s="870"/>
      <c r="M1280" s="870"/>
      <c r="N1280" s="870"/>
      <c r="O1280" s="870"/>
      <c r="P1280" s="870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73"/>
      <c r="E1281" s="677"/>
      <c r="F1281" s="677"/>
      <c r="G1281" s="677"/>
      <c r="H1281" s="872"/>
      <c r="I1281" s="871"/>
      <c r="J1281" s="871"/>
      <c r="K1281" s="870"/>
      <c r="L1281" s="870"/>
      <c r="M1281" s="870"/>
      <c r="N1281" s="870"/>
      <c r="O1281" s="870"/>
      <c r="P1281" s="870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73"/>
      <c r="E1282" s="677"/>
      <c r="F1282" s="677"/>
      <c r="G1282" s="677"/>
      <c r="H1282" s="872"/>
      <c r="I1282" s="871"/>
      <c r="J1282" s="871"/>
      <c r="K1282" s="870"/>
      <c r="L1282" s="870"/>
      <c r="M1282" s="870"/>
      <c r="N1282" s="870"/>
      <c r="O1282" s="870"/>
      <c r="P1282" s="870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73"/>
      <c r="E1283" s="677"/>
      <c r="F1283" s="677"/>
      <c r="G1283" s="677"/>
      <c r="H1283" s="872"/>
      <c r="I1283" s="871"/>
      <c r="J1283" s="871"/>
      <c r="K1283" s="870"/>
      <c r="L1283" s="870"/>
      <c r="M1283" s="870"/>
      <c r="N1283" s="870"/>
      <c r="O1283" s="870"/>
      <c r="P1283" s="870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73"/>
      <c r="E1284" s="677"/>
      <c r="F1284" s="677"/>
      <c r="G1284" s="677"/>
      <c r="H1284" s="872"/>
      <c r="I1284" s="871"/>
      <c r="J1284" s="871"/>
      <c r="K1284" s="870"/>
      <c r="L1284" s="870"/>
      <c r="M1284" s="870"/>
      <c r="N1284" s="870"/>
      <c r="O1284" s="870"/>
      <c r="P1284" s="870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73"/>
      <c r="E1285" s="677"/>
      <c r="F1285" s="677"/>
      <c r="G1285" s="677"/>
      <c r="H1285" s="872"/>
      <c r="I1285" s="871"/>
      <c r="J1285" s="871"/>
      <c r="K1285" s="870"/>
      <c r="L1285" s="870"/>
      <c r="M1285" s="870"/>
      <c r="N1285" s="870"/>
      <c r="O1285" s="870"/>
      <c r="P1285" s="870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73"/>
      <c r="E1286" s="677"/>
      <c r="F1286" s="677"/>
      <c r="G1286" s="677"/>
      <c r="H1286" s="872"/>
      <c r="I1286" s="871"/>
      <c r="J1286" s="871"/>
      <c r="K1286" s="870"/>
      <c r="L1286" s="870"/>
      <c r="M1286" s="870"/>
      <c r="N1286" s="870"/>
      <c r="O1286" s="870"/>
      <c r="P1286" s="870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73"/>
      <c r="E1287" s="677"/>
      <c r="F1287" s="677"/>
      <c r="G1287" s="677"/>
      <c r="H1287" s="872"/>
      <c r="I1287" s="871"/>
      <c r="J1287" s="871"/>
      <c r="K1287" s="870"/>
      <c r="L1287" s="870"/>
      <c r="M1287" s="870"/>
      <c r="N1287" s="870"/>
      <c r="O1287" s="870"/>
      <c r="P1287" s="870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73"/>
      <c r="E1288" s="677"/>
      <c r="F1288" s="677"/>
      <c r="G1288" s="677"/>
      <c r="H1288" s="872"/>
      <c r="I1288" s="871"/>
      <c r="J1288" s="871"/>
      <c r="K1288" s="870"/>
      <c r="L1288" s="870"/>
      <c r="M1288" s="870"/>
      <c r="N1288" s="870"/>
      <c r="O1288" s="870"/>
      <c r="P1288" s="870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73"/>
      <c r="E1289" s="677"/>
      <c r="F1289" s="677"/>
      <c r="G1289" s="677"/>
      <c r="H1289" s="872"/>
      <c r="I1289" s="871"/>
      <c r="J1289" s="871"/>
      <c r="K1289" s="870"/>
      <c r="L1289" s="870"/>
      <c r="M1289" s="870"/>
      <c r="N1289" s="870"/>
      <c r="O1289" s="870"/>
      <c r="P1289" s="870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73"/>
      <c r="E1290" s="677"/>
      <c r="F1290" s="677"/>
      <c r="G1290" s="677"/>
      <c r="H1290" s="872"/>
      <c r="I1290" s="871"/>
      <c r="J1290" s="871"/>
      <c r="K1290" s="870"/>
      <c r="L1290" s="870"/>
      <c r="M1290" s="870"/>
      <c r="N1290" s="870"/>
      <c r="O1290" s="870"/>
      <c r="P1290" s="870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73"/>
      <c r="E1291" s="677"/>
      <c r="F1291" s="677"/>
      <c r="G1291" s="677"/>
      <c r="H1291" s="872"/>
      <c r="I1291" s="871"/>
      <c r="J1291" s="871"/>
      <c r="K1291" s="870"/>
      <c r="L1291" s="870"/>
      <c r="M1291" s="870"/>
      <c r="N1291" s="870"/>
      <c r="O1291" s="870"/>
      <c r="P1291" s="870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73"/>
      <c r="E1292" s="677"/>
      <c r="F1292" s="677"/>
      <c r="G1292" s="677"/>
      <c r="H1292" s="872"/>
      <c r="I1292" s="871"/>
      <c r="J1292" s="871"/>
      <c r="K1292" s="870"/>
      <c r="L1292" s="870"/>
      <c r="M1292" s="870"/>
      <c r="N1292" s="870"/>
      <c r="O1292" s="870"/>
      <c r="P1292" s="870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73"/>
      <c r="E1293" s="677"/>
      <c r="F1293" s="677"/>
      <c r="G1293" s="677"/>
      <c r="H1293" s="872"/>
      <c r="I1293" s="871"/>
      <c r="J1293" s="871"/>
      <c r="K1293" s="870"/>
      <c r="L1293" s="870"/>
      <c r="M1293" s="870"/>
      <c r="N1293" s="870"/>
      <c r="O1293" s="870"/>
      <c r="P1293" s="870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73"/>
      <c r="E1294" s="677"/>
      <c r="F1294" s="677"/>
      <c r="G1294" s="677"/>
      <c r="H1294" s="872"/>
      <c r="I1294" s="871"/>
      <c r="J1294" s="871"/>
      <c r="K1294" s="870"/>
      <c r="L1294" s="870"/>
      <c r="M1294" s="870"/>
      <c r="N1294" s="870"/>
      <c r="O1294" s="870"/>
      <c r="P1294" s="870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73"/>
      <c r="E1295" s="677"/>
      <c r="F1295" s="677"/>
      <c r="G1295" s="677"/>
      <c r="H1295" s="872"/>
      <c r="I1295" s="871"/>
      <c r="J1295" s="871"/>
      <c r="K1295" s="870"/>
      <c r="L1295" s="870"/>
      <c r="M1295" s="870"/>
      <c r="N1295" s="870"/>
      <c r="O1295" s="870"/>
      <c r="P1295" s="870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73"/>
      <c r="E1296" s="677"/>
      <c r="F1296" s="677"/>
      <c r="G1296" s="677"/>
      <c r="H1296" s="872"/>
      <c r="I1296" s="871"/>
      <c r="J1296" s="871"/>
      <c r="K1296" s="870"/>
      <c r="L1296" s="870"/>
      <c r="M1296" s="870"/>
      <c r="N1296" s="870"/>
      <c r="O1296" s="870"/>
      <c r="P1296" s="870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73"/>
      <c r="E1297" s="677"/>
      <c r="F1297" s="677"/>
      <c r="G1297" s="677"/>
      <c r="H1297" s="872"/>
      <c r="I1297" s="871"/>
      <c r="J1297" s="871"/>
      <c r="K1297" s="870"/>
      <c r="L1297" s="870"/>
      <c r="M1297" s="870"/>
      <c r="N1297" s="870"/>
      <c r="O1297" s="870"/>
      <c r="P1297" s="870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73"/>
      <c r="E1298" s="677"/>
      <c r="F1298" s="677"/>
      <c r="G1298" s="677"/>
      <c r="H1298" s="872"/>
      <c r="I1298" s="871"/>
      <c r="J1298" s="871"/>
      <c r="K1298" s="870"/>
      <c r="L1298" s="870"/>
      <c r="M1298" s="870"/>
      <c r="N1298" s="870"/>
      <c r="O1298" s="870"/>
      <c r="P1298" s="870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73"/>
      <c r="E1299" s="677"/>
      <c r="F1299" s="677"/>
      <c r="G1299" s="677"/>
      <c r="H1299" s="872"/>
      <c r="I1299" s="871"/>
      <c r="J1299" s="871"/>
      <c r="K1299" s="870"/>
      <c r="L1299" s="870"/>
      <c r="M1299" s="870"/>
      <c r="N1299" s="870"/>
      <c r="O1299" s="870"/>
      <c r="P1299" s="870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73"/>
      <c r="E1300" s="677"/>
      <c r="F1300" s="677"/>
      <c r="G1300" s="677"/>
      <c r="H1300" s="872"/>
      <c r="I1300" s="871"/>
      <c r="J1300" s="871"/>
      <c r="K1300" s="870"/>
      <c r="L1300" s="870"/>
      <c r="M1300" s="870"/>
      <c r="N1300" s="870"/>
      <c r="O1300" s="870"/>
      <c r="P1300" s="870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73"/>
      <c r="E1301" s="677"/>
      <c r="F1301" s="677"/>
      <c r="G1301" s="677"/>
      <c r="H1301" s="872"/>
      <c r="I1301" s="871"/>
      <c r="J1301" s="871"/>
      <c r="K1301" s="870"/>
      <c r="L1301" s="870"/>
      <c r="M1301" s="870"/>
      <c r="N1301" s="870"/>
      <c r="O1301" s="870"/>
      <c r="P1301" s="870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73"/>
      <c r="E1302" s="677"/>
      <c r="F1302" s="677"/>
      <c r="G1302" s="677"/>
      <c r="H1302" s="872"/>
      <c r="I1302" s="871"/>
      <c r="J1302" s="871"/>
      <c r="K1302" s="870"/>
      <c r="L1302" s="870"/>
      <c r="M1302" s="870"/>
      <c r="N1302" s="870"/>
      <c r="O1302" s="870"/>
      <c r="P1302" s="870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73"/>
      <c r="E1303" s="677"/>
      <c r="F1303" s="677"/>
      <c r="G1303" s="677"/>
      <c r="H1303" s="872"/>
      <c r="I1303" s="871"/>
      <c r="J1303" s="871"/>
      <c r="K1303" s="870"/>
      <c r="L1303" s="870"/>
      <c r="M1303" s="870"/>
      <c r="N1303" s="870"/>
      <c r="O1303" s="870"/>
      <c r="P1303" s="870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73"/>
      <c r="E1304" s="677"/>
      <c r="F1304" s="677"/>
      <c r="G1304" s="677"/>
      <c r="H1304" s="872"/>
      <c r="I1304" s="871"/>
      <c r="J1304" s="871"/>
      <c r="K1304" s="870"/>
      <c r="L1304" s="870"/>
      <c r="M1304" s="870"/>
      <c r="N1304" s="870"/>
      <c r="O1304" s="870"/>
      <c r="P1304" s="870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73"/>
      <c r="E1305" s="677"/>
      <c r="F1305" s="677"/>
      <c r="G1305" s="677"/>
      <c r="H1305" s="872"/>
      <c r="I1305" s="871"/>
      <c r="J1305" s="871"/>
      <c r="K1305" s="870"/>
      <c r="L1305" s="870"/>
      <c r="M1305" s="870"/>
      <c r="N1305" s="870"/>
      <c r="O1305" s="870"/>
      <c r="P1305" s="870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73"/>
      <c r="E1306" s="677"/>
      <c r="F1306" s="677"/>
      <c r="G1306" s="677"/>
      <c r="H1306" s="872"/>
      <c r="I1306" s="871"/>
      <c r="J1306" s="871"/>
      <c r="K1306" s="870"/>
      <c r="L1306" s="870"/>
      <c r="M1306" s="870"/>
      <c r="N1306" s="870"/>
      <c r="O1306" s="870"/>
      <c r="P1306" s="870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73"/>
      <c r="E1307" s="677"/>
      <c r="F1307" s="677"/>
      <c r="G1307" s="677"/>
      <c r="H1307" s="872"/>
      <c r="I1307" s="871"/>
      <c r="J1307" s="871"/>
      <c r="K1307" s="870"/>
      <c r="L1307" s="870"/>
      <c r="M1307" s="870"/>
      <c r="N1307" s="870"/>
      <c r="O1307" s="870"/>
      <c r="P1307" s="870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73"/>
      <c r="E1308" s="677"/>
      <c r="F1308" s="677"/>
      <c r="G1308" s="677"/>
      <c r="H1308" s="872"/>
      <c r="I1308" s="871"/>
      <c r="J1308" s="871"/>
      <c r="K1308" s="870"/>
      <c r="L1308" s="870"/>
      <c r="M1308" s="870"/>
      <c r="N1308" s="870"/>
      <c r="O1308" s="870"/>
      <c r="P1308" s="870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73"/>
      <c r="E1309" s="677"/>
      <c r="F1309" s="677"/>
      <c r="G1309" s="677"/>
      <c r="H1309" s="872"/>
      <c r="I1309" s="871"/>
      <c r="J1309" s="871"/>
      <c r="K1309" s="870"/>
      <c r="L1309" s="870"/>
      <c r="M1309" s="870"/>
      <c r="N1309" s="870"/>
      <c r="O1309" s="870"/>
      <c r="P1309" s="870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73"/>
      <c r="E1310" s="677"/>
      <c r="F1310" s="677"/>
      <c r="G1310" s="677"/>
      <c r="H1310" s="872"/>
      <c r="I1310" s="871"/>
      <c r="J1310" s="871"/>
      <c r="K1310" s="870"/>
      <c r="L1310" s="870"/>
      <c r="M1310" s="870"/>
      <c r="N1310" s="870"/>
      <c r="O1310" s="870"/>
      <c r="P1310" s="870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73"/>
      <c r="E1311" s="677"/>
      <c r="F1311" s="677"/>
      <c r="G1311" s="677"/>
      <c r="H1311" s="872"/>
      <c r="I1311" s="871"/>
      <c r="J1311" s="871"/>
      <c r="K1311" s="870"/>
      <c r="L1311" s="870"/>
      <c r="M1311" s="870"/>
      <c r="N1311" s="870"/>
      <c r="O1311" s="870"/>
      <c r="P1311" s="870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73"/>
      <c r="E1312" s="677"/>
      <c r="F1312" s="677"/>
      <c r="G1312" s="677"/>
      <c r="H1312" s="872"/>
      <c r="I1312" s="871"/>
      <c r="J1312" s="871"/>
      <c r="K1312" s="870"/>
      <c r="L1312" s="870"/>
      <c r="M1312" s="870"/>
      <c r="N1312" s="870"/>
      <c r="O1312" s="870"/>
      <c r="P1312" s="870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73"/>
      <c r="E1313" s="677"/>
      <c r="F1313" s="677"/>
      <c r="G1313" s="677"/>
      <c r="H1313" s="872"/>
      <c r="I1313" s="871"/>
      <c r="J1313" s="871"/>
      <c r="K1313" s="870"/>
      <c r="L1313" s="870"/>
      <c r="M1313" s="870"/>
      <c r="N1313" s="870"/>
      <c r="O1313" s="870"/>
      <c r="P1313" s="870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73"/>
      <c r="E1314" s="677"/>
      <c r="F1314" s="677"/>
      <c r="G1314" s="677"/>
      <c r="H1314" s="872"/>
      <c r="I1314" s="871"/>
      <c r="J1314" s="871"/>
      <c r="K1314" s="870"/>
      <c r="L1314" s="870"/>
      <c r="M1314" s="870"/>
      <c r="N1314" s="870"/>
      <c r="O1314" s="870"/>
      <c r="P1314" s="870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73"/>
      <c r="E1315" s="677"/>
      <c r="F1315" s="677"/>
      <c r="G1315" s="677"/>
      <c r="H1315" s="872"/>
      <c r="I1315" s="871"/>
      <c r="J1315" s="871"/>
      <c r="K1315" s="870"/>
      <c r="L1315" s="870"/>
      <c r="M1315" s="870"/>
      <c r="N1315" s="870"/>
      <c r="O1315" s="870"/>
      <c r="P1315" s="870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73"/>
      <c r="E1316" s="677"/>
      <c r="F1316" s="677"/>
      <c r="G1316" s="677"/>
      <c r="H1316" s="872"/>
      <c r="I1316" s="871"/>
      <c r="J1316" s="871"/>
      <c r="K1316" s="870"/>
      <c r="L1316" s="870"/>
      <c r="M1316" s="870"/>
      <c r="N1316" s="870"/>
      <c r="O1316" s="870"/>
      <c r="P1316" s="870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73"/>
      <c r="E1317" s="677"/>
      <c r="F1317" s="677"/>
      <c r="G1317" s="677"/>
      <c r="H1317" s="872"/>
      <c r="I1317" s="871"/>
      <c r="J1317" s="871"/>
      <c r="K1317" s="870"/>
      <c r="L1317" s="870"/>
      <c r="M1317" s="870"/>
      <c r="N1317" s="870"/>
      <c r="O1317" s="870"/>
      <c r="P1317" s="870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73"/>
      <c r="E1318" s="677"/>
      <c r="F1318" s="677"/>
      <c r="G1318" s="677"/>
      <c r="H1318" s="872"/>
      <c r="I1318" s="871"/>
      <c r="J1318" s="871"/>
      <c r="K1318" s="870"/>
      <c r="L1318" s="870"/>
      <c r="M1318" s="870"/>
      <c r="N1318" s="870"/>
      <c r="O1318" s="870"/>
      <c r="P1318" s="870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73"/>
      <c r="E1319" s="677"/>
      <c r="F1319" s="677"/>
      <c r="G1319" s="677"/>
      <c r="H1319" s="872"/>
      <c r="I1319" s="871"/>
      <c r="J1319" s="871"/>
      <c r="K1319" s="870"/>
      <c r="L1319" s="870"/>
      <c r="M1319" s="870"/>
      <c r="N1319" s="870"/>
      <c r="O1319" s="870"/>
      <c r="P1319" s="870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73"/>
      <c r="E1320" s="677"/>
      <c r="F1320" s="677"/>
      <c r="G1320" s="677"/>
      <c r="H1320" s="872"/>
      <c r="I1320" s="871"/>
      <c r="J1320" s="871"/>
      <c r="K1320" s="870"/>
      <c r="L1320" s="870"/>
      <c r="M1320" s="870"/>
      <c r="N1320" s="870"/>
      <c r="O1320" s="870"/>
      <c r="P1320" s="870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73"/>
      <c r="E1321" s="677"/>
      <c r="F1321" s="677"/>
      <c r="G1321" s="677"/>
      <c r="H1321" s="872"/>
      <c r="I1321" s="871"/>
      <c r="J1321" s="871"/>
      <c r="K1321" s="870"/>
      <c r="L1321" s="870"/>
      <c r="M1321" s="870"/>
      <c r="N1321" s="870"/>
      <c r="O1321" s="870"/>
      <c r="P1321" s="870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73"/>
      <c r="E1322" s="677"/>
      <c r="F1322" s="677"/>
      <c r="G1322" s="677"/>
      <c r="H1322" s="872"/>
      <c r="I1322" s="871"/>
      <c r="J1322" s="871"/>
      <c r="K1322" s="870"/>
      <c r="L1322" s="870"/>
      <c r="M1322" s="870"/>
      <c r="N1322" s="870"/>
      <c r="O1322" s="870"/>
      <c r="P1322" s="870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73"/>
      <c r="E1323" s="677"/>
      <c r="F1323" s="677"/>
      <c r="G1323" s="677"/>
      <c r="H1323" s="872"/>
      <c r="I1323" s="871"/>
      <c r="J1323" s="871"/>
      <c r="K1323" s="870"/>
      <c r="L1323" s="870"/>
      <c r="M1323" s="870"/>
      <c r="N1323" s="870"/>
      <c r="O1323" s="870"/>
      <c r="P1323" s="870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73"/>
      <c r="E1324" s="677"/>
      <c r="F1324" s="677"/>
      <c r="G1324" s="677"/>
      <c r="H1324" s="872"/>
      <c r="I1324" s="871"/>
      <c r="J1324" s="871"/>
      <c r="K1324" s="870"/>
      <c r="L1324" s="870"/>
      <c r="M1324" s="870"/>
      <c r="N1324" s="870"/>
      <c r="O1324" s="870"/>
      <c r="P1324" s="870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73"/>
      <c r="E1325" s="677"/>
      <c r="F1325" s="677"/>
      <c r="G1325" s="677"/>
      <c r="H1325" s="872"/>
      <c r="I1325" s="871"/>
      <c r="J1325" s="871"/>
      <c r="K1325" s="870"/>
      <c r="L1325" s="870"/>
      <c r="M1325" s="870"/>
      <c r="N1325" s="870"/>
      <c r="O1325" s="870"/>
      <c r="P1325" s="870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73"/>
      <c r="E1326" s="677"/>
      <c r="F1326" s="677"/>
      <c r="G1326" s="677"/>
      <c r="H1326" s="872"/>
      <c r="I1326" s="871"/>
      <c r="J1326" s="871"/>
      <c r="K1326" s="870"/>
      <c r="L1326" s="870"/>
      <c r="M1326" s="870"/>
      <c r="N1326" s="870"/>
      <c r="O1326" s="870"/>
      <c r="P1326" s="870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73"/>
      <c r="E1327" s="677"/>
      <c r="F1327" s="677"/>
      <c r="G1327" s="677"/>
      <c r="H1327" s="872"/>
      <c r="I1327" s="871"/>
      <c r="J1327" s="871"/>
      <c r="K1327" s="870"/>
      <c r="L1327" s="870"/>
      <c r="M1327" s="870"/>
      <c r="N1327" s="870"/>
      <c r="O1327" s="870"/>
      <c r="P1327" s="870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73"/>
      <c r="E1328" s="677"/>
      <c r="F1328" s="677"/>
      <c r="G1328" s="677"/>
      <c r="H1328" s="872"/>
      <c r="I1328" s="871"/>
      <c r="J1328" s="871"/>
      <c r="K1328" s="870"/>
      <c r="L1328" s="870"/>
      <c r="M1328" s="870"/>
      <c r="N1328" s="870"/>
      <c r="O1328" s="870"/>
      <c r="P1328" s="870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73"/>
      <c r="E1329" s="677"/>
      <c r="F1329" s="677"/>
      <c r="G1329" s="677"/>
      <c r="H1329" s="872"/>
      <c r="I1329" s="871"/>
      <c r="J1329" s="871"/>
      <c r="K1329" s="870"/>
      <c r="L1329" s="870"/>
      <c r="M1329" s="870"/>
      <c r="N1329" s="870"/>
      <c r="O1329" s="870"/>
      <c r="P1329" s="870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73"/>
      <c r="E1330" s="677"/>
      <c r="F1330" s="677"/>
      <c r="G1330" s="677"/>
      <c r="H1330" s="872"/>
      <c r="I1330" s="871"/>
      <c r="J1330" s="871"/>
      <c r="K1330" s="870"/>
      <c r="L1330" s="870"/>
      <c r="M1330" s="870"/>
      <c r="N1330" s="870"/>
      <c r="O1330" s="870"/>
      <c r="P1330" s="870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73"/>
      <c r="E1331" s="677"/>
      <c r="F1331" s="677"/>
      <c r="G1331" s="677"/>
      <c r="H1331" s="872"/>
      <c r="I1331" s="871"/>
      <c r="J1331" s="871"/>
      <c r="K1331" s="870"/>
      <c r="L1331" s="870"/>
      <c r="M1331" s="870"/>
      <c r="N1331" s="870"/>
      <c r="O1331" s="870"/>
      <c r="P1331" s="870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73"/>
      <c r="E1332" s="677"/>
      <c r="F1332" s="677"/>
      <c r="G1332" s="677"/>
      <c r="H1332" s="872"/>
      <c r="I1332" s="871"/>
      <c r="J1332" s="871"/>
      <c r="K1332" s="870"/>
      <c r="L1332" s="870"/>
      <c r="M1332" s="870"/>
      <c r="N1332" s="870"/>
      <c r="O1332" s="870"/>
      <c r="P1332" s="870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73"/>
      <c r="E1333" s="677"/>
      <c r="F1333" s="677"/>
      <c r="G1333" s="677"/>
      <c r="H1333" s="872"/>
      <c r="I1333" s="871"/>
      <c r="J1333" s="871"/>
      <c r="K1333" s="870"/>
      <c r="L1333" s="870"/>
      <c r="M1333" s="870"/>
      <c r="N1333" s="870"/>
      <c r="O1333" s="870"/>
      <c r="P1333" s="870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73"/>
      <c r="E1334" s="677"/>
      <c r="F1334" s="677"/>
      <c r="G1334" s="677"/>
      <c r="H1334" s="872"/>
      <c r="I1334" s="871"/>
      <c r="J1334" s="871"/>
      <c r="K1334" s="870"/>
      <c r="L1334" s="870"/>
      <c r="M1334" s="870"/>
      <c r="N1334" s="870"/>
      <c r="O1334" s="870"/>
      <c r="P1334" s="870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73"/>
      <c r="E1335" s="677"/>
      <c r="F1335" s="677"/>
      <c r="G1335" s="677"/>
      <c r="H1335" s="872"/>
      <c r="I1335" s="871"/>
      <c r="J1335" s="871"/>
      <c r="K1335" s="870"/>
      <c r="L1335" s="870"/>
      <c r="M1335" s="870"/>
      <c r="N1335" s="870"/>
      <c r="O1335" s="870"/>
      <c r="P1335" s="870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73"/>
      <c r="E1336" s="677"/>
      <c r="F1336" s="677"/>
      <c r="G1336" s="677"/>
      <c r="H1336" s="872"/>
      <c r="I1336" s="871"/>
      <c r="J1336" s="871"/>
      <c r="K1336" s="870"/>
      <c r="L1336" s="870"/>
      <c r="M1336" s="870"/>
      <c r="N1336" s="870"/>
      <c r="O1336" s="870"/>
      <c r="P1336" s="870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73"/>
      <c r="E1337" s="677"/>
      <c r="F1337" s="677"/>
      <c r="G1337" s="677"/>
      <c r="H1337" s="872"/>
      <c r="I1337" s="871"/>
      <c r="J1337" s="871"/>
      <c r="K1337" s="870"/>
      <c r="L1337" s="870"/>
      <c r="M1337" s="870"/>
      <c r="N1337" s="870"/>
      <c r="O1337" s="870"/>
      <c r="P1337" s="870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73"/>
      <c r="E1338" s="677"/>
      <c r="F1338" s="677"/>
      <c r="G1338" s="677"/>
      <c r="H1338" s="872"/>
      <c r="I1338" s="871"/>
      <c r="J1338" s="871"/>
      <c r="K1338" s="870"/>
      <c r="L1338" s="870"/>
      <c r="M1338" s="870"/>
      <c r="N1338" s="870"/>
      <c r="O1338" s="870"/>
      <c r="P1338" s="870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73"/>
      <c r="E1339" s="677"/>
      <c r="F1339" s="677"/>
      <c r="G1339" s="677"/>
      <c r="H1339" s="872"/>
      <c r="I1339" s="871"/>
      <c r="J1339" s="871"/>
      <c r="K1339" s="870"/>
      <c r="L1339" s="870"/>
      <c r="M1339" s="870"/>
      <c r="N1339" s="870"/>
      <c r="O1339" s="870"/>
      <c r="P1339" s="870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73"/>
      <c r="E1340" s="677"/>
      <c r="F1340" s="677"/>
      <c r="G1340" s="677"/>
      <c r="H1340" s="872"/>
      <c r="I1340" s="871"/>
      <c r="J1340" s="871"/>
      <c r="K1340" s="870"/>
      <c r="L1340" s="870"/>
      <c r="M1340" s="870"/>
      <c r="N1340" s="870"/>
      <c r="O1340" s="870"/>
      <c r="P1340" s="870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73"/>
      <c r="E1341" s="677"/>
      <c r="F1341" s="677"/>
      <c r="G1341" s="677"/>
      <c r="H1341" s="872"/>
      <c r="I1341" s="871"/>
      <c r="J1341" s="871"/>
      <c r="K1341" s="870"/>
      <c r="L1341" s="870"/>
      <c r="M1341" s="870"/>
      <c r="N1341" s="870"/>
      <c r="O1341" s="870"/>
      <c r="P1341" s="870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73"/>
      <c r="E1342" s="677"/>
      <c r="F1342" s="677"/>
      <c r="G1342" s="677"/>
      <c r="H1342" s="872"/>
      <c r="I1342" s="871"/>
      <c r="J1342" s="871"/>
      <c r="K1342" s="870"/>
      <c r="L1342" s="870"/>
      <c r="M1342" s="870"/>
      <c r="N1342" s="870"/>
      <c r="O1342" s="870"/>
      <c r="P1342" s="870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73"/>
      <c r="E1343" s="677"/>
      <c r="F1343" s="677"/>
      <c r="G1343" s="677"/>
      <c r="H1343" s="872"/>
      <c r="I1343" s="871"/>
      <c r="J1343" s="871"/>
      <c r="K1343" s="870"/>
      <c r="L1343" s="870"/>
      <c r="M1343" s="870"/>
      <c r="N1343" s="870"/>
      <c r="O1343" s="870"/>
      <c r="P1343" s="870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73"/>
      <c r="E1344" s="677"/>
      <c r="F1344" s="677"/>
      <c r="G1344" s="677"/>
      <c r="H1344" s="872"/>
      <c r="I1344" s="871"/>
      <c r="J1344" s="871"/>
      <c r="K1344" s="870"/>
      <c r="L1344" s="870"/>
      <c r="M1344" s="870"/>
      <c r="N1344" s="870"/>
      <c r="O1344" s="870"/>
      <c r="P1344" s="870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73"/>
      <c r="E1345" s="677"/>
      <c r="F1345" s="677"/>
      <c r="G1345" s="677"/>
      <c r="H1345" s="872"/>
      <c r="I1345" s="871"/>
      <c r="J1345" s="871"/>
      <c r="K1345" s="870"/>
      <c r="L1345" s="870"/>
      <c r="M1345" s="870"/>
      <c r="N1345" s="870"/>
      <c r="O1345" s="870"/>
      <c r="P1345" s="870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73"/>
      <c r="E1346" s="677"/>
      <c r="F1346" s="677"/>
      <c r="G1346" s="677"/>
      <c r="H1346" s="872"/>
      <c r="I1346" s="871"/>
      <c r="J1346" s="871"/>
      <c r="K1346" s="870"/>
      <c r="L1346" s="870"/>
      <c r="M1346" s="870"/>
      <c r="N1346" s="870"/>
      <c r="O1346" s="870"/>
      <c r="P1346" s="870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73"/>
      <c r="E1347" s="677"/>
      <c r="F1347" s="677"/>
      <c r="G1347" s="677"/>
      <c r="H1347" s="872"/>
      <c r="I1347" s="871"/>
      <c r="J1347" s="871"/>
      <c r="K1347" s="870"/>
      <c r="L1347" s="870"/>
      <c r="M1347" s="870"/>
      <c r="N1347" s="870"/>
      <c r="O1347" s="870"/>
      <c r="P1347" s="870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73"/>
      <c r="E1348" s="677"/>
      <c r="F1348" s="677"/>
      <c r="G1348" s="677"/>
      <c r="H1348" s="872"/>
      <c r="I1348" s="871"/>
      <c r="J1348" s="871"/>
      <c r="K1348" s="870"/>
      <c r="L1348" s="870"/>
      <c r="M1348" s="870"/>
      <c r="N1348" s="870"/>
      <c r="O1348" s="870"/>
      <c r="P1348" s="870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73"/>
      <c r="E1349" s="677"/>
      <c r="F1349" s="677"/>
      <c r="G1349" s="677"/>
      <c r="H1349" s="872"/>
      <c r="I1349" s="871"/>
      <c r="J1349" s="871"/>
      <c r="K1349" s="870"/>
      <c r="L1349" s="870"/>
      <c r="M1349" s="870"/>
      <c r="N1349" s="870"/>
      <c r="O1349" s="870"/>
      <c r="P1349" s="870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73"/>
      <c r="E1350" s="677"/>
      <c r="F1350" s="677"/>
      <c r="G1350" s="677"/>
      <c r="H1350" s="872"/>
      <c r="I1350" s="871"/>
      <c r="J1350" s="871"/>
      <c r="K1350" s="870"/>
      <c r="L1350" s="870"/>
      <c r="M1350" s="870"/>
      <c r="N1350" s="870"/>
      <c r="O1350" s="870"/>
      <c r="P1350" s="870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73"/>
      <c r="E1351" s="677"/>
      <c r="F1351" s="677"/>
      <c r="G1351" s="677"/>
      <c r="H1351" s="872"/>
      <c r="I1351" s="871"/>
      <c r="J1351" s="871"/>
      <c r="K1351" s="870"/>
      <c r="L1351" s="870"/>
      <c r="M1351" s="870"/>
      <c r="N1351" s="870"/>
      <c r="O1351" s="870"/>
      <c r="P1351" s="870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73"/>
      <c r="E1352" s="677"/>
      <c r="F1352" s="677"/>
      <c r="G1352" s="677"/>
      <c r="H1352" s="872"/>
      <c r="I1352" s="871"/>
      <c r="J1352" s="871"/>
      <c r="K1352" s="870"/>
      <c r="L1352" s="870"/>
      <c r="M1352" s="870"/>
      <c r="N1352" s="870"/>
      <c r="O1352" s="870"/>
      <c r="P1352" s="870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73"/>
      <c r="E1353" s="677"/>
      <c r="F1353" s="677"/>
      <c r="G1353" s="677"/>
      <c r="H1353" s="872"/>
      <c r="I1353" s="871"/>
      <c r="J1353" s="871"/>
      <c r="K1353" s="870"/>
      <c r="L1353" s="870"/>
      <c r="M1353" s="870"/>
      <c r="N1353" s="870"/>
      <c r="O1353" s="870"/>
      <c r="P1353" s="870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73"/>
      <c r="E1354" s="677"/>
      <c r="F1354" s="677"/>
      <c r="G1354" s="677"/>
      <c r="H1354" s="872"/>
      <c r="I1354" s="871"/>
      <c r="J1354" s="871"/>
      <c r="K1354" s="870"/>
      <c r="L1354" s="870"/>
      <c r="M1354" s="870"/>
      <c r="N1354" s="870"/>
      <c r="O1354" s="870"/>
      <c r="P1354" s="870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73"/>
      <c r="E1355" s="677"/>
      <c r="F1355" s="677"/>
      <c r="G1355" s="677"/>
      <c r="H1355" s="872"/>
      <c r="I1355" s="871"/>
      <c r="J1355" s="871"/>
      <c r="K1355" s="870"/>
      <c r="L1355" s="870"/>
      <c r="M1355" s="870"/>
      <c r="N1355" s="870"/>
      <c r="O1355" s="870"/>
      <c r="P1355" s="870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73"/>
      <c r="E1356" s="677"/>
      <c r="F1356" s="677"/>
      <c r="G1356" s="677"/>
      <c r="H1356" s="872"/>
      <c r="I1356" s="871"/>
      <c r="J1356" s="871"/>
      <c r="K1356" s="870"/>
      <c r="L1356" s="870"/>
      <c r="M1356" s="870"/>
      <c r="N1356" s="870"/>
      <c r="O1356" s="870"/>
      <c r="P1356" s="870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73"/>
      <c r="E1357" s="677"/>
      <c r="F1357" s="677"/>
      <c r="G1357" s="677"/>
      <c r="H1357" s="872"/>
      <c r="I1357" s="871"/>
      <c r="J1357" s="871"/>
      <c r="K1357" s="870"/>
      <c r="L1357" s="870"/>
      <c r="M1357" s="870"/>
      <c r="N1357" s="870"/>
      <c r="O1357" s="870"/>
      <c r="P1357" s="870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73"/>
      <c r="E1358" s="677"/>
      <c r="F1358" s="677"/>
      <c r="G1358" s="677"/>
      <c r="H1358" s="872"/>
      <c r="I1358" s="871"/>
      <c r="J1358" s="871"/>
      <c r="K1358" s="870"/>
      <c r="L1358" s="870"/>
      <c r="M1358" s="870"/>
      <c r="N1358" s="870"/>
      <c r="O1358" s="870"/>
      <c r="P1358" s="870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73"/>
      <c r="E1359" s="677"/>
      <c r="F1359" s="677"/>
      <c r="G1359" s="677"/>
      <c r="H1359" s="872"/>
      <c r="I1359" s="871"/>
      <c r="J1359" s="871"/>
      <c r="K1359" s="870"/>
      <c r="L1359" s="870"/>
      <c r="M1359" s="870"/>
      <c r="N1359" s="870"/>
      <c r="O1359" s="870"/>
      <c r="P1359" s="870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73"/>
      <c r="E1360" s="677"/>
      <c r="F1360" s="677"/>
      <c r="G1360" s="677"/>
      <c r="H1360" s="872"/>
      <c r="I1360" s="871"/>
      <c r="J1360" s="871"/>
      <c r="K1360" s="870"/>
      <c r="L1360" s="870"/>
      <c r="M1360" s="870"/>
      <c r="N1360" s="870"/>
      <c r="O1360" s="870"/>
      <c r="P1360" s="870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73"/>
      <c r="E1361" s="677"/>
      <c r="F1361" s="677"/>
      <c r="G1361" s="677"/>
      <c r="H1361" s="872"/>
      <c r="I1361" s="871"/>
      <c r="J1361" s="871"/>
      <c r="K1361" s="870"/>
      <c r="L1361" s="870"/>
      <c r="M1361" s="870"/>
      <c r="N1361" s="870"/>
      <c r="O1361" s="870"/>
      <c r="P1361" s="870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73"/>
      <c r="E1362" s="677"/>
      <c r="F1362" s="677"/>
      <c r="G1362" s="677"/>
      <c r="H1362" s="872"/>
      <c r="I1362" s="871"/>
      <c r="J1362" s="871"/>
      <c r="K1362" s="870"/>
      <c r="L1362" s="870"/>
      <c r="M1362" s="870"/>
      <c r="N1362" s="870"/>
      <c r="O1362" s="870"/>
      <c r="P1362" s="870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73"/>
      <c r="E1363" s="677"/>
      <c r="F1363" s="677"/>
      <c r="G1363" s="677"/>
      <c r="H1363" s="872"/>
      <c r="I1363" s="871"/>
      <c r="J1363" s="871"/>
      <c r="K1363" s="870"/>
      <c r="L1363" s="870"/>
      <c r="M1363" s="870"/>
      <c r="N1363" s="870"/>
      <c r="O1363" s="870"/>
      <c r="P1363" s="870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73"/>
      <c r="E1364" s="677"/>
      <c r="F1364" s="677"/>
      <c r="G1364" s="677"/>
      <c r="H1364" s="872"/>
      <c r="I1364" s="871"/>
      <c r="J1364" s="871"/>
      <c r="K1364" s="870"/>
      <c r="L1364" s="870"/>
      <c r="M1364" s="870"/>
      <c r="N1364" s="870"/>
      <c r="O1364" s="870"/>
      <c r="P1364" s="870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73"/>
      <c r="E1365" s="677"/>
      <c r="F1365" s="677"/>
      <c r="G1365" s="677"/>
      <c r="H1365" s="872"/>
      <c r="I1365" s="871"/>
      <c r="J1365" s="871"/>
      <c r="K1365" s="870"/>
      <c r="L1365" s="870"/>
      <c r="M1365" s="870"/>
      <c r="N1365" s="870"/>
      <c r="O1365" s="870"/>
      <c r="P1365" s="870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73"/>
      <c r="E1366" s="677"/>
      <c r="F1366" s="677"/>
      <c r="G1366" s="677"/>
      <c r="H1366" s="872"/>
      <c r="I1366" s="871"/>
      <c r="J1366" s="871"/>
      <c r="K1366" s="870"/>
      <c r="L1366" s="870"/>
      <c r="M1366" s="870"/>
      <c r="N1366" s="870"/>
      <c r="O1366" s="870"/>
      <c r="P1366" s="870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73"/>
      <c r="E1367" s="677"/>
      <c r="F1367" s="677"/>
      <c r="G1367" s="677"/>
      <c r="H1367" s="872"/>
      <c r="I1367" s="871"/>
      <c r="J1367" s="871"/>
      <c r="K1367" s="870"/>
      <c r="L1367" s="870"/>
      <c r="M1367" s="870"/>
      <c r="N1367" s="870"/>
      <c r="O1367" s="870"/>
      <c r="P1367" s="870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73"/>
      <c r="E1368" s="677"/>
      <c r="F1368" s="677"/>
      <c r="G1368" s="677"/>
      <c r="H1368" s="872"/>
      <c r="I1368" s="871"/>
      <c r="J1368" s="871"/>
      <c r="K1368" s="870"/>
      <c r="L1368" s="870"/>
      <c r="M1368" s="870"/>
      <c r="N1368" s="870"/>
      <c r="O1368" s="870"/>
      <c r="P1368" s="870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73"/>
      <c r="E1369" s="677"/>
      <c r="F1369" s="677"/>
      <c r="G1369" s="677"/>
      <c r="H1369" s="872"/>
      <c r="I1369" s="871"/>
      <c r="J1369" s="871"/>
      <c r="K1369" s="870"/>
      <c r="L1369" s="870"/>
      <c r="M1369" s="870"/>
      <c r="N1369" s="870"/>
      <c r="O1369" s="870"/>
      <c r="P1369" s="870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73"/>
      <c r="E1370" s="677"/>
      <c r="F1370" s="677"/>
      <c r="G1370" s="677"/>
      <c r="H1370" s="872"/>
      <c r="I1370" s="871"/>
      <c r="J1370" s="871"/>
      <c r="K1370" s="870"/>
      <c r="L1370" s="870"/>
      <c r="M1370" s="870"/>
      <c r="N1370" s="870"/>
      <c r="O1370" s="870"/>
      <c r="P1370" s="870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73"/>
      <c r="E1371" s="677"/>
      <c r="F1371" s="677"/>
      <c r="G1371" s="677"/>
      <c r="H1371" s="872"/>
      <c r="I1371" s="871"/>
      <c r="J1371" s="871"/>
      <c r="K1371" s="870"/>
      <c r="L1371" s="870"/>
      <c r="M1371" s="870"/>
      <c r="N1371" s="870"/>
      <c r="O1371" s="870"/>
      <c r="P1371" s="870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73"/>
      <c r="E1372" s="677"/>
      <c r="F1372" s="677"/>
      <c r="G1372" s="677"/>
      <c r="H1372" s="872"/>
      <c r="I1372" s="871"/>
      <c r="J1372" s="871"/>
      <c r="K1372" s="870"/>
      <c r="L1372" s="870"/>
      <c r="M1372" s="870"/>
      <c r="N1372" s="870"/>
      <c r="O1372" s="870"/>
      <c r="P1372" s="870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73"/>
      <c r="E1373" s="677"/>
      <c r="F1373" s="677"/>
      <c r="G1373" s="677"/>
      <c r="H1373" s="872"/>
      <c r="I1373" s="871"/>
      <c r="J1373" s="871"/>
      <c r="K1373" s="870"/>
      <c r="L1373" s="870"/>
      <c r="M1373" s="870"/>
      <c r="N1373" s="870"/>
      <c r="O1373" s="870"/>
      <c r="P1373" s="870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73"/>
      <c r="E1374" s="677"/>
      <c r="F1374" s="677"/>
      <c r="G1374" s="677"/>
      <c r="H1374" s="872"/>
      <c r="I1374" s="871"/>
      <c r="J1374" s="871"/>
      <c r="K1374" s="870"/>
      <c r="L1374" s="870"/>
      <c r="M1374" s="870"/>
      <c r="N1374" s="870"/>
      <c r="O1374" s="870"/>
      <c r="P1374" s="870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73"/>
      <c r="E1375" s="677"/>
      <c r="F1375" s="677"/>
      <c r="G1375" s="677"/>
      <c r="H1375" s="872"/>
      <c r="I1375" s="871"/>
      <c r="J1375" s="871"/>
      <c r="K1375" s="870"/>
      <c r="L1375" s="870"/>
      <c r="M1375" s="870"/>
      <c r="N1375" s="870"/>
      <c r="O1375" s="870"/>
      <c r="P1375" s="870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73"/>
      <c r="E1376" s="677"/>
      <c r="F1376" s="677"/>
      <c r="G1376" s="677"/>
      <c r="H1376" s="872"/>
      <c r="I1376" s="871"/>
      <c r="J1376" s="871"/>
      <c r="K1376" s="870"/>
      <c r="L1376" s="870"/>
      <c r="M1376" s="870"/>
      <c r="N1376" s="870"/>
      <c r="O1376" s="870"/>
      <c r="P1376" s="870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73"/>
      <c r="E1377" s="677"/>
      <c r="F1377" s="677"/>
      <c r="G1377" s="677"/>
      <c r="H1377" s="872"/>
      <c r="I1377" s="871"/>
      <c r="J1377" s="871"/>
      <c r="K1377" s="870"/>
      <c r="L1377" s="870"/>
      <c r="M1377" s="870"/>
      <c r="N1377" s="870"/>
      <c r="O1377" s="870"/>
      <c r="P1377" s="870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73"/>
      <c r="E1378" s="677"/>
      <c r="F1378" s="677"/>
      <c r="G1378" s="677"/>
      <c r="H1378" s="872"/>
      <c r="I1378" s="871"/>
      <c r="J1378" s="871"/>
      <c r="K1378" s="870"/>
      <c r="L1378" s="870"/>
      <c r="M1378" s="870"/>
      <c r="N1378" s="870"/>
      <c r="O1378" s="870"/>
      <c r="P1378" s="870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73"/>
      <c r="E1379" s="677"/>
      <c r="F1379" s="677"/>
      <c r="G1379" s="677"/>
      <c r="H1379" s="872"/>
      <c r="I1379" s="871"/>
      <c r="J1379" s="871"/>
      <c r="K1379" s="870"/>
      <c r="L1379" s="870"/>
      <c r="M1379" s="870"/>
      <c r="N1379" s="870"/>
      <c r="O1379" s="870"/>
      <c r="P1379" s="870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73"/>
      <c r="E1380" s="677"/>
      <c r="F1380" s="677"/>
      <c r="G1380" s="677"/>
      <c r="H1380" s="872"/>
      <c r="I1380" s="871"/>
      <c r="J1380" s="871"/>
      <c r="K1380" s="870"/>
      <c r="L1380" s="870"/>
      <c r="M1380" s="870"/>
      <c r="N1380" s="870"/>
      <c r="O1380" s="870"/>
      <c r="P1380" s="870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73"/>
      <c r="E1381" s="677"/>
      <c r="F1381" s="677"/>
      <c r="G1381" s="677"/>
      <c r="H1381" s="872"/>
      <c r="I1381" s="871"/>
      <c r="J1381" s="871"/>
      <c r="K1381" s="870"/>
      <c r="L1381" s="870"/>
      <c r="M1381" s="870"/>
      <c r="N1381" s="870"/>
      <c r="O1381" s="870"/>
      <c r="P1381" s="870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73"/>
      <c r="E1382" s="677"/>
      <c r="F1382" s="677"/>
      <c r="G1382" s="677"/>
      <c r="H1382" s="872"/>
      <c r="I1382" s="871"/>
      <c r="J1382" s="871"/>
      <c r="K1382" s="870"/>
      <c r="L1382" s="870"/>
      <c r="M1382" s="870"/>
      <c r="N1382" s="870"/>
      <c r="O1382" s="870"/>
      <c r="P1382" s="870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73"/>
      <c r="E1383" s="677"/>
      <c r="F1383" s="677"/>
      <c r="G1383" s="677"/>
      <c r="H1383" s="872"/>
      <c r="I1383" s="871"/>
      <c r="J1383" s="871"/>
      <c r="K1383" s="870"/>
      <c r="L1383" s="870"/>
      <c r="M1383" s="870"/>
      <c r="N1383" s="870"/>
      <c r="O1383" s="870"/>
      <c r="P1383" s="870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73"/>
      <c r="E1384" s="677"/>
      <c r="F1384" s="677"/>
      <c r="G1384" s="677"/>
      <c r="H1384" s="872"/>
      <c r="I1384" s="871"/>
      <c r="J1384" s="871"/>
      <c r="K1384" s="870"/>
      <c r="L1384" s="870"/>
      <c r="M1384" s="870"/>
      <c r="N1384" s="870"/>
      <c r="O1384" s="870"/>
      <c r="P1384" s="870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73"/>
      <c r="E1385" s="677"/>
      <c r="F1385" s="677"/>
      <c r="G1385" s="677"/>
      <c r="H1385" s="872"/>
      <c r="I1385" s="871"/>
      <c r="J1385" s="871"/>
      <c r="K1385" s="870"/>
      <c r="L1385" s="870"/>
      <c r="M1385" s="870"/>
      <c r="N1385" s="870"/>
      <c r="O1385" s="870"/>
      <c r="P1385" s="870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73"/>
      <c r="E1386" s="677"/>
      <c r="F1386" s="677"/>
      <c r="G1386" s="677"/>
      <c r="H1386" s="872"/>
      <c r="I1386" s="871"/>
      <c r="J1386" s="871"/>
      <c r="K1386" s="870"/>
      <c r="L1386" s="870"/>
      <c r="M1386" s="870"/>
      <c r="N1386" s="870"/>
      <c r="O1386" s="870"/>
      <c r="P1386" s="870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73"/>
      <c r="E1387" s="677"/>
      <c r="F1387" s="677"/>
      <c r="G1387" s="677"/>
      <c r="H1387" s="872"/>
      <c r="I1387" s="871"/>
      <c r="J1387" s="871"/>
      <c r="K1387" s="870"/>
      <c r="L1387" s="870"/>
      <c r="M1387" s="870"/>
      <c r="N1387" s="870"/>
      <c r="O1387" s="870"/>
      <c r="P1387" s="870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73"/>
      <c r="E1388" s="677"/>
      <c r="F1388" s="677"/>
      <c r="G1388" s="677"/>
      <c r="H1388" s="872"/>
      <c r="I1388" s="871"/>
      <c r="J1388" s="871"/>
      <c r="K1388" s="870"/>
      <c r="L1388" s="870"/>
      <c r="M1388" s="870"/>
      <c r="N1388" s="870"/>
      <c r="O1388" s="870"/>
      <c r="P1388" s="870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73"/>
      <c r="E1389" s="677"/>
      <c r="F1389" s="677"/>
      <c r="G1389" s="677"/>
      <c r="H1389" s="872"/>
      <c r="I1389" s="871"/>
      <c r="J1389" s="871"/>
      <c r="K1389" s="870"/>
      <c r="L1389" s="870"/>
      <c r="M1389" s="870"/>
      <c r="N1389" s="870"/>
      <c r="O1389" s="870"/>
      <c r="P1389" s="870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73"/>
      <c r="E1390" s="677"/>
      <c r="F1390" s="677"/>
      <c r="G1390" s="677"/>
      <c r="H1390" s="872"/>
      <c r="I1390" s="871"/>
      <c r="J1390" s="871"/>
      <c r="K1390" s="870"/>
      <c r="L1390" s="870"/>
      <c r="M1390" s="870"/>
      <c r="N1390" s="870"/>
      <c r="O1390" s="870"/>
      <c r="P1390" s="870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73"/>
      <c r="E1391" s="677"/>
      <c r="F1391" s="677"/>
      <c r="G1391" s="677"/>
      <c r="H1391" s="872"/>
      <c r="I1391" s="871"/>
      <c r="J1391" s="871"/>
      <c r="K1391" s="870"/>
      <c r="L1391" s="870"/>
      <c r="M1391" s="870"/>
      <c r="N1391" s="870"/>
      <c r="O1391" s="870"/>
      <c r="P1391" s="870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73"/>
      <c r="E1392" s="677"/>
      <c r="F1392" s="677"/>
      <c r="G1392" s="677"/>
      <c r="H1392" s="872"/>
      <c r="I1392" s="871"/>
      <c r="J1392" s="871"/>
      <c r="K1392" s="870"/>
      <c r="L1392" s="870"/>
      <c r="M1392" s="870"/>
      <c r="N1392" s="870"/>
      <c r="O1392" s="870"/>
      <c r="P1392" s="870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73"/>
      <c r="E1393" s="677"/>
      <c r="F1393" s="677"/>
      <c r="G1393" s="677"/>
      <c r="H1393" s="872"/>
      <c r="I1393" s="871"/>
      <c r="J1393" s="871"/>
      <c r="K1393" s="870"/>
      <c r="L1393" s="870"/>
      <c r="M1393" s="870"/>
      <c r="N1393" s="870"/>
      <c r="O1393" s="870"/>
      <c r="P1393" s="870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73"/>
      <c r="E1394" s="677"/>
      <c r="F1394" s="677"/>
      <c r="G1394" s="677"/>
      <c r="H1394" s="872"/>
      <c r="I1394" s="871"/>
      <c r="J1394" s="871"/>
      <c r="K1394" s="870"/>
      <c r="L1394" s="870"/>
      <c r="M1394" s="870"/>
      <c r="N1394" s="870"/>
      <c r="O1394" s="870"/>
      <c r="P1394" s="870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73"/>
      <c r="E1395" s="677"/>
      <c r="F1395" s="677"/>
      <c r="G1395" s="677"/>
      <c r="H1395" s="872"/>
      <c r="I1395" s="871"/>
      <c r="J1395" s="871"/>
      <c r="K1395" s="870"/>
      <c r="L1395" s="870"/>
      <c r="M1395" s="870"/>
      <c r="N1395" s="870"/>
      <c r="O1395" s="870"/>
      <c r="P1395" s="870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73"/>
      <c r="E1396" s="677"/>
      <c r="F1396" s="677"/>
      <c r="G1396" s="677"/>
      <c r="H1396" s="872"/>
      <c r="I1396" s="871"/>
      <c r="J1396" s="871"/>
      <c r="K1396" s="870"/>
      <c r="L1396" s="870"/>
      <c r="M1396" s="870"/>
      <c r="N1396" s="870"/>
      <c r="O1396" s="870"/>
      <c r="P1396" s="870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73"/>
      <c r="E1397" s="677"/>
      <c r="F1397" s="677"/>
      <c r="G1397" s="677"/>
      <c r="H1397" s="872"/>
      <c r="I1397" s="871"/>
      <c r="J1397" s="871"/>
      <c r="K1397" s="870"/>
      <c r="L1397" s="870"/>
      <c r="M1397" s="870"/>
      <c r="N1397" s="870"/>
      <c r="O1397" s="870"/>
      <c r="P1397" s="870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73"/>
      <c r="E1398" s="677"/>
      <c r="F1398" s="677"/>
      <c r="G1398" s="677"/>
      <c r="H1398" s="872"/>
      <c r="I1398" s="871"/>
      <c r="J1398" s="871"/>
      <c r="K1398" s="870"/>
      <c r="L1398" s="870"/>
      <c r="M1398" s="870"/>
      <c r="N1398" s="870"/>
      <c r="O1398" s="870"/>
      <c r="P1398" s="870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73"/>
      <c r="E1399" s="677"/>
      <c r="F1399" s="677"/>
      <c r="G1399" s="677"/>
      <c r="H1399" s="872"/>
      <c r="I1399" s="871"/>
      <c r="J1399" s="871"/>
      <c r="K1399" s="870"/>
      <c r="L1399" s="870"/>
      <c r="M1399" s="870"/>
      <c r="N1399" s="870"/>
      <c r="O1399" s="870"/>
      <c r="P1399" s="870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73"/>
      <c r="E1400" s="677"/>
      <c r="F1400" s="677"/>
      <c r="G1400" s="677"/>
      <c r="H1400" s="872"/>
      <c r="I1400" s="871"/>
      <c r="J1400" s="871"/>
      <c r="K1400" s="870"/>
      <c r="L1400" s="870"/>
      <c r="M1400" s="870"/>
      <c r="N1400" s="870"/>
      <c r="O1400" s="870"/>
      <c r="P1400" s="870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73"/>
      <c r="E1401" s="677"/>
      <c r="F1401" s="677"/>
      <c r="G1401" s="677"/>
      <c r="H1401" s="872"/>
      <c r="I1401" s="871"/>
      <c r="J1401" s="871"/>
      <c r="K1401" s="870"/>
      <c r="L1401" s="870"/>
      <c r="M1401" s="870"/>
      <c r="N1401" s="870"/>
      <c r="O1401" s="870"/>
      <c r="P1401" s="870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73"/>
      <c r="E1402" s="677"/>
      <c r="F1402" s="677"/>
      <c r="G1402" s="677"/>
      <c r="H1402" s="872"/>
      <c r="I1402" s="871"/>
      <c r="J1402" s="871"/>
      <c r="K1402" s="870"/>
      <c r="L1402" s="870"/>
      <c r="M1402" s="870"/>
      <c r="N1402" s="870"/>
      <c r="O1402" s="870"/>
      <c r="P1402" s="870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73"/>
      <c r="E1403" s="677"/>
      <c r="F1403" s="677"/>
      <c r="G1403" s="677"/>
      <c r="H1403" s="872"/>
      <c r="I1403" s="871"/>
      <c r="J1403" s="871"/>
      <c r="K1403" s="870"/>
      <c r="L1403" s="870"/>
      <c r="M1403" s="870"/>
      <c r="N1403" s="870"/>
      <c r="O1403" s="870"/>
      <c r="P1403" s="870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73"/>
      <c r="E1404" s="677"/>
      <c r="F1404" s="677"/>
      <c r="G1404" s="677"/>
      <c r="H1404" s="872"/>
      <c r="I1404" s="871"/>
      <c r="J1404" s="871"/>
      <c r="K1404" s="870"/>
      <c r="L1404" s="870"/>
      <c r="M1404" s="870"/>
      <c r="N1404" s="870"/>
      <c r="O1404" s="870"/>
      <c r="P1404" s="870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73"/>
      <c r="E1405" s="677"/>
      <c r="F1405" s="677"/>
      <c r="G1405" s="677"/>
      <c r="H1405" s="872"/>
      <c r="I1405" s="871"/>
      <c r="J1405" s="871"/>
      <c r="K1405" s="870"/>
      <c r="L1405" s="870"/>
      <c r="M1405" s="870"/>
      <c r="N1405" s="870"/>
      <c r="O1405" s="870"/>
      <c r="P1405" s="870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73"/>
      <c r="E1406" s="677"/>
      <c r="F1406" s="677"/>
      <c r="G1406" s="677"/>
      <c r="H1406" s="872"/>
      <c r="I1406" s="871"/>
      <c r="J1406" s="871"/>
      <c r="K1406" s="870"/>
      <c r="L1406" s="870"/>
      <c r="M1406" s="870"/>
      <c r="N1406" s="870"/>
      <c r="O1406" s="870"/>
      <c r="P1406" s="870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73"/>
      <c r="E1407" s="677"/>
      <c r="F1407" s="677"/>
      <c r="G1407" s="677"/>
      <c r="H1407" s="872"/>
      <c r="I1407" s="871"/>
      <c r="J1407" s="871"/>
      <c r="K1407" s="870"/>
      <c r="L1407" s="870"/>
      <c r="M1407" s="870"/>
      <c r="N1407" s="870"/>
      <c r="O1407" s="870"/>
      <c r="P1407" s="870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73"/>
      <c r="E1408" s="677"/>
      <c r="F1408" s="677"/>
      <c r="G1408" s="677"/>
      <c r="H1408" s="872"/>
      <c r="I1408" s="871"/>
      <c r="J1408" s="871"/>
      <c r="K1408" s="870"/>
      <c r="L1408" s="870"/>
      <c r="M1408" s="870"/>
      <c r="N1408" s="870"/>
      <c r="O1408" s="870"/>
      <c r="P1408" s="870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73"/>
      <c r="E1409" s="677"/>
      <c r="F1409" s="677"/>
      <c r="G1409" s="677"/>
      <c r="H1409" s="872"/>
      <c r="I1409" s="871"/>
      <c r="J1409" s="871"/>
      <c r="K1409" s="870"/>
      <c r="L1409" s="870"/>
      <c r="M1409" s="870"/>
      <c r="N1409" s="870"/>
      <c r="O1409" s="870"/>
      <c r="P1409" s="870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73"/>
      <c r="E1410" s="677"/>
      <c r="F1410" s="677"/>
      <c r="G1410" s="677"/>
      <c r="H1410" s="872"/>
      <c r="I1410" s="871"/>
      <c r="J1410" s="871"/>
      <c r="K1410" s="870"/>
      <c r="L1410" s="870"/>
      <c r="M1410" s="870"/>
      <c r="N1410" s="870"/>
      <c r="O1410" s="870"/>
      <c r="P1410" s="870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73"/>
      <c r="E1411" s="677"/>
      <c r="F1411" s="677"/>
      <c r="G1411" s="677"/>
      <c r="H1411" s="872"/>
      <c r="I1411" s="871"/>
      <c r="J1411" s="871"/>
      <c r="K1411" s="870"/>
      <c r="L1411" s="870"/>
      <c r="M1411" s="870"/>
      <c r="N1411" s="870"/>
      <c r="O1411" s="870"/>
      <c r="P1411" s="870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73"/>
      <c r="E1412" s="677"/>
      <c r="F1412" s="677"/>
      <c r="G1412" s="677"/>
      <c r="H1412" s="872"/>
      <c r="I1412" s="871"/>
      <c r="J1412" s="871"/>
      <c r="K1412" s="870"/>
      <c r="L1412" s="870"/>
      <c r="M1412" s="870"/>
      <c r="N1412" s="870"/>
      <c r="O1412" s="870"/>
      <c r="P1412" s="870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73"/>
      <c r="E1413" s="677"/>
      <c r="F1413" s="677"/>
      <c r="G1413" s="677"/>
      <c r="H1413" s="872"/>
      <c r="I1413" s="871"/>
      <c r="J1413" s="871"/>
      <c r="K1413" s="870"/>
      <c r="L1413" s="870"/>
      <c r="M1413" s="870"/>
      <c r="N1413" s="870"/>
      <c r="O1413" s="870"/>
      <c r="P1413" s="870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73"/>
      <c r="E1414" s="677"/>
      <c r="F1414" s="677"/>
      <c r="G1414" s="677"/>
      <c r="H1414" s="872"/>
      <c r="I1414" s="871"/>
      <c r="J1414" s="871"/>
      <c r="K1414" s="870"/>
      <c r="L1414" s="870"/>
      <c r="M1414" s="870"/>
      <c r="N1414" s="870"/>
      <c r="O1414" s="870"/>
      <c r="P1414" s="870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73"/>
      <c r="E1415" s="677"/>
      <c r="F1415" s="677"/>
      <c r="G1415" s="677"/>
      <c r="H1415" s="872"/>
      <c r="I1415" s="871"/>
      <c r="J1415" s="871"/>
      <c r="K1415" s="870"/>
      <c r="L1415" s="870"/>
      <c r="M1415" s="870"/>
      <c r="N1415" s="870"/>
      <c r="O1415" s="870"/>
      <c r="P1415" s="870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73"/>
      <c r="E1416" s="677"/>
      <c r="F1416" s="677"/>
      <c r="G1416" s="677"/>
      <c r="H1416" s="872"/>
      <c r="I1416" s="871"/>
      <c r="J1416" s="871"/>
      <c r="K1416" s="870"/>
      <c r="L1416" s="870"/>
      <c r="M1416" s="870"/>
      <c r="N1416" s="870"/>
      <c r="O1416" s="870"/>
      <c r="P1416" s="870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73"/>
      <c r="E1417" s="677"/>
      <c r="F1417" s="677"/>
      <c r="G1417" s="677"/>
      <c r="H1417" s="872"/>
      <c r="I1417" s="871"/>
      <c r="J1417" s="871"/>
      <c r="K1417" s="870"/>
      <c r="L1417" s="870"/>
      <c r="M1417" s="870"/>
      <c r="N1417" s="870"/>
      <c r="O1417" s="870"/>
      <c r="P1417" s="870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73"/>
      <c r="E1418" s="677"/>
      <c r="F1418" s="677"/>
      <c r="G1418" s="677"/>
      <c r="H1418" s="872"/>
      <c r="I1418" s="871"/>
      <c r="J1418" s="871"/>
      <c r="K1418" s="870"/>
      <c r="L1418" s="870"/>
      <c r="M1418" s="870"/>
      <c r="N1418" s="870"/>
      <c r="O1418" s="870"/>
      <c r="P1418" s="870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73"/>
      <c r="E1419" s="677"/>
      <c r="F1419" s="677"/>
      <c r="G1419" s="677"/>
      <c r="H1419" s="872"/>
      <c r="I1419" s="871"/>
      <c r="J1419" s="871"/>
      <c r="K1419" s="870"/>
      <c r="L1419" s="870"/>
      <c r="M1419" s="870"/>
      <c r="N1419" s="870"/>
      <c r="O1419" s="870"/>
      <c r="P1419" s="870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73"/>
      <c r="E1420" s="677"/>
      <c r="F1420" s="677"/>
      <c r="G1420" s="677"/>
      <c r="H1420" s="872"/>
      <c r="I1420" s="871"/>
      <c r="J1420" s="871"/>
      <c r="K1420" s="870"/>
      <c r="L1420" s="870"/>
      <c r="M1420" s="870"/>
      <c r="N1420" s="870"/>
      <c r="O1420" s="870"/>
      <c r="P1420" s="870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73"/>
      <c r="E1421" s="677"/>
      <c r="F1421" s="677"/>
      <c r="G1421" s="677"/>
      <c r="H1421" s="872"/>
      <c r="I1421" s="871"/>
      <c r="J1421" s="871"/>
      <c r="K1421" s="870"/>
      <c r="L1421" s="870"/>
      <c r="M1421" s="870"/>
      <c r="N1421" s="870"/>
      <c r="O1421" s="870"/>
      <c r="P1421" s="870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73"/>
      <c r="E1422" s="677"/>
      <c r="F1422" s="677"/>
      <c r="G1422" s="677"/>
      <c r="H1422" s="872"/>
      <c r="I1422" s="871"/>
      <c r="J1422" s="871"/>
      <c r="K1422" s="870"/>
      <c r="L1422" s="870"/>
      <c r="M1422" s="870"/>
      <c r="N1422" s="870"/>
      <c r="O1422" s="870"/>
      <c r="P1422" s="870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73"/>
      <c r="E1423" s="677"/>
      <c r="F1423" s="677"/>
      <c r="G1423" s="677"/>
      <c r="H1423" s="872"/>
      <c r="I1423" s="871"/>
      <c r="J1423" s="871"/>
      <c r="K1423" s="870"/>
      <c r="L1423" s="870"/>
      <c r="M1423" s="870"/>
      <c r="N1423" s="870"/>
      <c r="O1423" s="870"/>
      <c r="P1423" s="870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73"/>
      <c r="E1424" s="677"/>
      <c r="F1424" s="677"/>
      <c r="G1424" s="677"/>
      <c r="H1424" s="872"/>
      <c r="I1424" s="871"/>
      <c r="J1424" s="871"/>
      <c r="K1424" s="870"/>
      <c r="L1424" s="870"/>
      <c r="M1424" s="870"/>
      <c r="N1424" s="870"/>
      <c r="O1424" s="870"/>
      <c r="P1424" s="870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73"/>
      <c r="E1425" s="677"/>
      <c r="F1425" s="677"/>
      <c r="G1425" s="677"/>
      <c r="H1425" s="872"/>
      <c r="I1425" s="871"/>
      <c r="J1425" s="871"/>
      <c r="K1425" s="870"/>
      <c r="L1425" s="870"/>
      <c r="M1425" s="870"/>
      <c r="N1425" s="870"/>
      <c r="O1425" s="870"/>
      <c r="P1425" s="870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73"/>
      <c r="E1426" s="677"/>
      <c r="F1426" s="677"/>
      <c r="G1426" s="677"/>
      <c r="H1426" s="872"/>
      <c r="I1426" s="871"/>
      <c r="J1426" s="871"/>
      <c r="K1426" s="870"/>
      <c r="L1426" s="870"/>
      <c r="M1426" s="870"/>
      <c r="N1426" s="870"/>
      <c r="O1426" s="870"/>
      <c r="P1426" s="870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73"/>
      <c r="E1427" s="677"/>
      <c r="F1427" s="677"/>
      <c r="G1427" s="677"/>
      <c r="H1427" s="872"/>
      <c r="I1427" s="871"/>
      <c r="J1427" s="871"/>
      <c r="K1427" s="870"/>
      <c r="L1427" s="870"/>
      <c r="M1427" s="870"/>
      <c r="N1427" s="870"/>
      <c r="O1427" s="870"/>
      <c r="P1427" s="870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73"/>
      <c r="E1428" s="677"/>
      <c r="F1428" s="677"/>
      <c r="G1428" s="677"/>
      <c r="H1428" s="872"/>
      <c r="I1428" s="871"/>
      <c r="J1428" s="871"/>
      <c r="K1428" s="870"/>
      <c r="L1428" s="870"/>
      <c r="M1428" s="870"/>
      <c r="N1428" s="870"/>
      <c r="O1428" s="870"/>
      <c r="P1428" s="870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73"/>
      <c r="E1429" s="677"/>
      <c r="F1429" s="677"/>
      <c r="G1429" s="677"/>
      <c r="H1429" s="872"/>
      <c r="I1429" s="871"/>
      <c r="J1429" s="871"/>
      <c r="K1429" s="870"/>
      <c r="L1429" s="870"/>
      <c r="M1429" s="870"/>
      <c r="N1429" s="870"/>
      <c r="O1429" s="870"/>
      <c r="P1429" s="870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73"/>
      <c r="E1430" s="677"/>
      <c r="F1430" s="677"/>
      <c r="G1430" s="677"/>
      <c r="H1430" s="872"/>
      <c r="I1430" s="871"/>
      <c r="J1430" s="871"/>
      <c r="K1430" s="870"/>
      <c r="L1430" s="870"/>
      <c r="M1430" s="870"/>
      <c r="N1430" s="870"/>
      <c r="O1430" s="870"/>
      <c r="P1430" s="870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73"/>
      <c r="E1431" s="677"/>
      <c r="F1431" s="677"/>
      <c r="G1431" s="677"/>
      <c r="H1431" s="872"/>
      <c r="I1431" s="871"/>
      <c r="J1431" s="871"/>
      <c r="K1431" s="870"/>
      <c r="L1431" s="870"/>
      <c r="M1431" s="870"/>
      <c r="N1431" s="870"/>
      <c r="O1431" s="870"/>
      <c r="P1431" s="870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73"/>
      <c r="E1432" s="677"/>
      <c r="F1432" s="677"/>
      <c r="G1432" s="677"/>
      <c r="H1432" s="872"/>
      <c r="I1432" s="871"/>
      <c r="J1432" s="871"/>
      <c r="K1432" s="870"/>
      <c r="L1432" s="870"/>
      <c r="M1432" s="870"/>
      <c r="N1432" s="870"/>
      <c r="O1432" s="870"/>
      <c r="P1432" s="870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73"/>
      <c r="E1433" s="677"/>
      <c r="F1433" s="677"/>
      <c r="G1433" s="677"/>
      <c r="H1433" s="872"/>
      <c r="I1433" s="871"/>
      <c r="J1433" s="871"/>
      <c r="K1433" s="870"/>
      <c r="L1433" s="870"/>
      <c r="M1433" s="870"/>
      <c r="N1433" s="870"/>
      <c r="O1433" s="870"/>
      <c r="P1433" s="870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73"/>
      <c r="E1434" s="677"/>
      <c r="F1434" s="677"/>
      <c r="G1434" s="677"/>
      <c r="H1434" s="872"/>
      <c r="I1434" s="871"/>
      <c r="J1434" s="871"/>
      <c r="K1434" s="870"/>
      <c r="L1434" s="870"/>
      <c r="M1434" s="870"/>
      <c r="N1434" s="870"/>
      <c r="O1434" s="870"/>
      <c r="P1434" s="870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73"/>
      <c r="E1435" s="677"/>
      <c r="F1435" s="677"/>
      <c r="G1435" s="677"/>
      <c r="H1435" s="872"/>
      <c r="I1435" s="871"/>
      <c r="J1435" s="871"/>
      <c r="K1435" s="870"/>
      <c r="L1435" s="870"/>
      <c r="M1435" s="870"/>
      <c r="N1435" s="870"/>
      <c r="O1435" s="870"/>
      <c r="P1435" s="870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73"/>
      <c r="E1436" s="677"/>
      <c r="F1436" s="677"/>
      <c r="G1436" s="677"/>
      <c r="H1436" s="872"/>
      <c r="I1436" s="871"/>
      <c r="J1436" s="871"/>
      <c r="K1436" s="870"/>
      <c r="L1436" s="870"/>
      <c r="M1436" s="870"/>
      <c r="N1436" s="870"/>
      <c r="O1436" s="870"/>
      <c r="P1436" s="870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73"/>
      <c r="E1437" s="677"/>
      <c r="F1437" s="677"/>
      <c r="G1437" s="677"/>
      <c r="H1437" s="872"/>
      <c r="I1437" s="871"/>
      <c r="J1437" s="871"/>
      <c r="K1437" s="870"/>
      <c r="L1437" s="870"/>
      <c r="M1437" s="870"/>
      <c r="N1437" s="870"/>
      <c r="O1437" s="870"/>
      <c r="P1437" s="870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73"/>
      <c r="E1438" s="677"/>
      <c r="F1438" s="677"/>
      <c r="G1438" s="677"/>
      <c r="H1438" s="872"/>
      <c r="I1438" s="871"/>
      <c r="J1438" s="871"/>
      <c r="K1438" s="870"/>
      <c r="L1438" s="870"/>
      <c r="M1438" s="870"/>
      <c r="N1438" s="870"/>
      <c r="O1438" s="870"/>
      <c r="P1438" s="870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73"/>
      <c r="E1439" s="677"/>
      <c r="F1439" s="677"/>
      <c r="G1439" s="677"/>
      <c r="H1439" s="872"/>
      <c r="I1439" s="871"/>
      <c r="J1439" s="871"/>
      <c r="K1439" s="870"/>
      <c r="L1439" s="870"/>
      <c r="M1439" s="870"/>
      <c r="N1439" s="870"/>
      <c r="O1439" s="870"/>
      <c r="P1439" s="870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73"/>
      <c r="E1440" s="677"/>
      <c r="F1440" s="677"/>
      <c r="G1440" s="677"/>
      <c r="H1440" s="872"/>
      <c r="I1440" s="871"/>
      <c r="J1440" s="871"/>
      <c r="K1440" s="870"/>
      <c r="L1440" s="870"/>
      <c r="M1440" s="870"/>
      <c r="N1440" s="870"/>
      <c r="O1440" s="870"/>
      <c r="P1440" s="870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73"/>
      <c r="E1441" s="677"/>
      <c r="F1441" s="677"/>
      <c r="G1441" s="677"/>
      <c r="H1441" s="872"/>
      <c r="I1441" s="871"/>
      <c r="J1441" s="871"/>
      <c r="K1441" s="870"/>
      <c r="L1441" s="870"/>
      <c r="M1441" s="870"/>
      <c r="N1441" s="870"/>
      <c r="O1441" s="870"/>
      <c r="P1441" s="870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73"/>
      <c r="E1442" s="677"/>
      <c r="F1442" s="677"/>
      <c r="G1442" s="677"/>
      <c r="H1442" s="872"/>
      <c r="I1442" s="871"/>
      <c r="J1442" s="871"/>
      <c r="K1442" s="870"/>
      <c r="L1442" s="870"/>
      <c r="M1442" s="870"/>
      <c r="N1442" s="870"/>
      <c r="O1442" s="870"/>
      <c r="P1442" s="870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73"/>
      <c r="E1443" s="677"/>
      <c r="F1443" s="677"/>
      <c r="G1443" s="677"/>
      <c r="H1443" s="872"/>
      <c r="I1443" s="871"/>
      <c r="J1443" s="871"/>
      <c r="K1443" s="870"/>
      <c r="L1443" s="870"/>
      <c r="M1443" s="870"/>
      <c r="N1443" s="870"/>
      <c r="O1443" s="870"/>
      <c r="P1443" s="870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73"/>
      <c r="E1444" s="677"/>
      <c r="F1444" s="677"/>
      <c r="G1444" s="677"/>
      <c r="H1444" s="872"/>
      <c r="I1444" s="871"/>
      <c r="J1444" s="871"/>
      <c r="K1444" s="870"/>
      <c r="L1444" s="870"/>
      <c r="M1444" s="870"/>
      <c r="N1444" s="870"/>
      <c r="O1444" s="870"/>
      <c r="P1444" s="870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73"/>
      <c r="E1445" s="677"/>
      <c r="F1445" s="677"/>
      <c r="G1445" s="677"/>
      <c r="H1445" s="872"/>
      <c r="I1445" s="871"/>
      <c r="J1445" s="871"/>
      <c r="K1445" s="870"/>
      <c r="L1445" s="870"/>
      <c r="M1445" s="870"/>
      <c r="N1445" s="870"/>
      <c r="O1445" s="870"/>
      <c r="P1445" s="870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73"/>
      <c r="E1446" s="677"/>
      <c r="F1446" s="677"/>
      <c r="G1446" s="677"/>
      <c r="H1446" s="872"/>
      <c r="I1446" s="871"/>
      <c r="J1446" s="871"/>
      <c r="K1446" s="870"/>
      <c r="L1446" s="870"/>
      <c r="M1446" s="870"/>
      <c r="N1446" s="870"/>
      <c r="O1446" s="870"/>
      <c r="P1446" s="870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73"/>
      <c r="E1447" s="677"/>
      <c r="F1447" s="677"/>
      <c r="G1447" s="677"/>
      <c r="H1447" s="872"/>
      <c r="I1447" s="871"/>
      <c r="J1447" s="871"/>
      <c r="K1447" s="870"/>
      <c r="L1447" s="870"/>
      <c r="M1447" s="870"/>
      <c r="N1447" s="870"/>
      <c r="O1447" s="870"/>
      <c r="P1447" s="870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73"/>
      <c r="E1448" s="677"/>
      <c r="F1448" s="677"/>
      <c r="G1448" s="677"/>
      <c r="H1448" s="872"/>
      <c r="I1448" s="871"/>
      <c r="J1448" s="871"/>
      <c r="K1448" s="870"/>
      <c r="L1448" s="870"/>
      <c r="M1448" s="870"/>
      <c r="N1448" s="870"/>
      <c r="O1448" s="870"/>
      <c r="P1448" s="870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73"/>
      <c r="E1449" s="677"/>
      <c r="F1449" s="677"/>
      <c r="G1449" s="677"/>
      <c r="H1449" s="872"/>
      <c r="I1449" s="871"/>
      <c r="J1449" s="871"/>
      <c r="K1449" s="870"/>
      <c r="L1449" s="870"/>
      <c r="M1449" s="870"/>
      <c r="N1449" s="870"/>
      <c r="O1449" s="870"/>
      <c r="P1449" s="870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73"/>
      <c r="E1450" s="677"/>
      <c r="F1450" s="677"/>
      <c r="G1450" s="677"/>
      <c r="H1450" s="872"/>
      <c r="I1450" s="871"/>
      <c r="J1450" s="871"/>
      <c r="K1450" s="870"/>
      <c r="L1450" s="870"/>
      <c r="M1450" s="870"/>
      <c r="N1450" s="870"/>
      <c r="O1450" s="870"/>
      <c r="P1450" s="870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73"/>
      <c r="E1451" s="677"/>
      <c r="F1451" s="677"/>
      <c r="G1451" s="677"/>
      <c r="H1451" s="872"/>
      <c r="I1451" s="871"/>
      <c r="J1451" s="871"/>
      <c r="K1451" s="870"/>
      <c r="L1451" s="870"/>
      <c r="M1451" s="870"/>
      <c r="N1451" s="870"/>
      <c r="O1451" s="870"/>
      <c r="P1451" s="870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73"/>
      <c r="E1452" s="677"/>
      <c r="F1452" s="677"/>
      <c r="G1452" s="677"/>
      <c r="H1452" s="872"/>
      <c r="I1452" s="871"/>
      <c r="J1452" s="871"/>
      <c r="K1452" s="870"/>
      <c r="L1452" s="870"/>
      <c r="M1452" s="870"/>
      <c r="N1452" s="870"/>
      <c r="O1452" s="870"/>
      <c r="P1452" s="870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73"/>
      <c r="E1453" s="677"/>
      <c r="F1453" s="677"/>
      <c r="G1453" s="677"/>
      <c r="H1453" s="872"/>
      <c r="I1453" s="871"/>
      <c r="J1453" s="871"/>
      <c r="K1453" s="870"/>
      <c r="L1453" s="870"/>
      <c r="M1453" s="870"/>
      <c r="N1453" s="870"/>
      <c r="O1453" s="870"/>
      <c r="P1453" s="870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73"/>
      <c r="E1454" s="677"/>
      <c r="F1454" s="677"/>
      <c r="G1454" s="677"/>
      <c r="H1454" s="872"/>
      <c r="I1454" s="871"/>
      <c r="J1454" s="871"/>
      <c r="K1454" s="870"/>
      <c r="L1454" s="870"/>
      <c r="M1454" s="870"/>
      <c r="N1454" s="870"/>
      <c r="O1454" s="870"/>
      <c r="P1454" s="870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73"/>
      <c r="E1455" s="677"/>
      <c r="F1455" s="677"/>
      <c r="G1455" s="677"/>
      <c r="H1455" s="872"/>
      <c r="I1455" s="871"/>
      <c r="J1455" s="871"/>
      <c r="K1455" s="870"/>
      <c r="L1455" s="870"/>
      <c r="M1455" s="870"/>
      <c r="N1455" s="870"/>
      <c r="O1455" s="870"/>
      <c r="P1455" s="870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73"/>
      <c r="E1456" s="677"/>
      <c r="F1456" s="677"/>
      <c r="G1456" s="677"/>
      <c r="H1456" s="872"/>
      <c r="I1456" s="871"/>
      <c r="J1456" s="871"/>
      <c r="K1456" s="870"/>
      <c r="L1456" s="870"/>
      <c r="M1456" s="870"/>
      <c r="N1456" s="870"/>
      <c r="O1456" s="870"/>
      <c r="P1456" s="870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73"/>
      <c r="E1457" s="677"/>
      <c r="F1457" s="677"/>
      <c r="G1457" s="677"/>
      <c r="H1457" s="872"/>
      <c r="I1457" s="871"/>
      <c r="J1457" s="871"/>
      <c r="K1457" s="870"/>
      <c r="L1457" s="870"/>
      <c r="M1457" s="870"/>
      <c r="N1457" s="870"/>
      <c r="O1457" s="870"/>
      <c r="P1457" s="870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73"/>
      <c r="E1458" s="677"/>
      <c r="F1458" s="677"/>
      <c r="G1458" s="677"/>
      <c r="H1458" s="872"/>
      <c r="I1458" s="871"/>
      <c r="J1458" s="871"/>
      <c r="K1458" s="870"/>
      <c r="L1458" s="870"/>
      <c r="M1458" s="870"/>
      <c r="N1458" s="870"/>
      <c r="O1458" s="870"/>
      <c r="P1458" s="870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73"/>
      <c r="E1459" s="677"/>
      <c r="F1459" s="677"/>
      <c r="G1459" s="677"/>
      <c r="H1459" s="872"/>
      <c r="I1459" s="871"/>
      <c r="J1459" s="871"/>
      <c r="K1459" s="870"/>
      <c r="L1459" s="870"/>
      <c r="M1459" s="870"/>
      <c r="N1459" s="870"/>
      <c r="O1459" s="870"/>
      <c r="P1459" s="870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73"/>
      <c r="E1460" s="677"/>
      <c r="F1460" s="677"/>
      <c r="G1460" s="677"/>
      <c r="H1460" s="872"/>
      <c r="I1460" s="871"/>
      <c r="J1460" s="871"/>
      <c r="K1460" s="870"/>
      <c r="L1460" s="870"/>
      <c r="M1460" s="870"/>
      <c r="N1460" s="870"/>
      <c r="O1460" s="870"/>
      <c r="P1460" s="870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73"/>
      <c r="E1461" s="677"/>
      <c r="F1461" s="677"/>
      <c r="G1461" s="677"/>
      <c r="H1461" s="872"/>
      <c r="I1461" s="871"/>
      <c r="J1461" s="871"/>
      <c r="K1461" s="870"/>
      <c r="L1461" s="870"/>
      <c r="M1461" s="870"/>
      <c r="N1461" s="870"/>
      <c r="O1461" s="870"/>
      <c r="P1461" s="870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73"/>
      <c r="E1462" s="677"/>
      <c r="F1462" s="677"/>
      <c r="G1462" s="677"/>
      <c r="H1462" s="872"/>
      <c r="I1462" s="871"/>
      <c r="J1462" s="871"/>
      <c r="K1462" s="870"/>
      <c r="L1462" s="870"/>
      <c r="M1462" s="870"/>
      <c r="N1462" s="870"/>
      <c r="O1462" s="870"/>
      <c r="P1462" s="870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73"/>
      <c r="E1463" s="677"/>
      <c r="F1463" s="677"/>
      <c r="G1463" s="677"/>
      <c r="H1463" s="872"/>
      <c r="I1463" s="871"/>
      <c r="J1463" s="871"/>
      <c r="K1463" s="870"/>
      <c r="L1463" s="870"/>
      <c r="M1463" s="870"/>
      <c r="N1463" s="870"/>
      <c r="O1463" s="870"/>
      <c r="P1463" s="870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73"/>
      <c r="E1464" s="677"/>
      <c r="F1464" s="677"/>
      <c r="G1464" s="677"/>
      <c r="H1464" s="872"/>
      <c r="I1464" s="871"/>
      <c r="J1464" s="871"/>
      <c r="K1464" s="870"/>
      <c r="L1464" s="870"/>
      <c r="M1464" s="870"/>
      <c r="N1464" s="870"/>
      <c r="O1464" s="870"/>
      <c r="P1464" s="870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73"/>
      <c r="E1465" s="677"/>
      <c r="F1465" s="677"/>
      <c r="G1465" s="677"/>
      <c r="H1465" s="872"/>
      <c r="I1465" s="871"/>
      <c r="J1465" s="871"/>
      <c r="K1465" s="870"/>
      <c r="L1465" s="870"/>
      <c r="M1465" s="870"/>
      <c r="N1465" s="870"/>
      <c r="O1465" s="870"/>
      <c r="P1465" s="870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73"/>
      <c r="E1466" s="677"/>
      <c r="F1466" s="677"/>
      <c r="G1466" s="677"/>
      <c r="H1466" s="872"/>
      <c r="I1466" s="871"/>
      <c r="J1466" s="871"/>
      <c r="K1466" s="870"/>
      <c r="L1466" s="870"/>
      <c r="M1466" s="870"/>
      <c r="N1466" s="870"/>
      <c r="O1466" s="870"/>
      <c r="P1466" s="870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73"/>
      <c r="E1467" s="677"/>
      <c r="F1467" s="677"/>
      <c r="G1467" s="677"/>
      <c r="H1467" s="872"/>
      <c r="I1467" s="871"/>
      <c r="J1467" s="871"/>
      <c r="K1467" s="870"/>
      <c r="L1467" s="870"/>
      <c r="M1467" s="870"/>
      <c r="N1467" s="870"/>
      <c r="O1467" s="870"/>
      <c r="P1467" s="870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73"/>
      <c r="E1468" s="677"/>
      <c r="F1468" s="677"/>
      <c r="G1468" s="677"/>
      <c r="H1468" s="872"/>
      <c r="I1468" s="871"/>
      <c r="J1468" s="871"/>
      <c r="K1468" s="870"/>
      <c r="L1468" s="870"/>
      <c r="M1468" s="870"/>
      <c r="N1468" s="870"/>
      <c r="O1468" s="870"/>
      <c r="P1468" s="870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73"/>
      <c r="E1469" s="677"/>
      <c r="F1469" s="677"/>
      <c r="G1469" s="677"/>
      <c r="H1469" s="872"/>
      <c r="I1469" s="871"/>
      <c r="J1469" s="871"/>
      <c r="K1469" s="870"/>
      <c r="L1469" s="870"/>
      <c r="M1469" s="870"/>
      <c r="N1469" s="870"/>
      <c r="O1469" s="870"/>
      <c r="P1469" s="870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73"/>
      <c r="E1470" s="677"/>
      <c r="F1470" s="677"/>
      <c r="G1470" s="677"/>
      <c r="H1470" s="872"/>
      <c r="I1470" s="871"/>
      <c r="J1470" s="871"/>
      <c r="K1470" s="870"/>
      <c r="L1470" s="870"/>
      <c r="M1470" s="870"/>
      <c r="N1470" s="870"/>
      <c r="O1470" s="870"/>
      <c r="P1470" s="870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73"/>
      <c r="E1471" s="677"/>
      <c r="F1471" s="677"/>
      <c r="G1471" s="677"/>
      <c r="H1471" s="872"/>
      <c r="I1471" s="871"/>
      <c r="J1471" s="871"/>
      <c r="K1471" s="870"/>
      <c r="L1471" s="870"/>
      <c r="M1471" s="870"/>
      <c r="N1471" s="870"/>
      <c r="O1471" s="870"/>
      <c r="P1471" s="870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73"/>
      <c r="E1472" s="677"/>
      <c r="F1472" s="677"/>
      <c r="G1472" s="677"/>
      <c r="H1472" s="872"/>
      <c r="I1472" s="871"/>
      <c r="J1472" s="871"/>
      <c r="K1472" s="870"/>
      <c r="L1472" s="870"/>
      <c r="M1472" s="870"/>
      <c r="N1472" s="870"/>
      <c r="O1472" s="870"/>
      <c r="P1472" s="870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73"/>
      <c r="E1473" s="677"/>
      <c r="F1473" s="677"/>
      <c r="G1473" s="677"/>
      <c r="H1473" s="872"/>
      <c r="I1473" s="871"/>
      <c r="J1473" s="871"/>
      <c r="K1473" s="870"/>
      <c r="L1473" s="870"/>
      <c r="M1473" s="870"/>
      <c r="N1473" s="870"/>
      <c r="O1473" s="870"/>
      <c r="P1473" s="870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73"/>
      <c r="E1474" s="677"/>
      <c r="F1474" s="677"/>
      <c r="G1474" s="677"/>
      <c r="H1474" s="872"/>
      <c r="I1474" s="871"/>
      <c r="J1474" s="871"/>
      <c r="K1474" s="870"/>
      <c r="L1474" s="870"/>
      <c r="M1474" s="870"/>
      <c r="N1474" s="870"/>
      <c r="O1474" s="870"/>
      <c r="P1474" s="870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73"/>
      <c r="E1475" s="677"/>
      <c r="F1475" s="677"/>
      <c r="G1475" s="677"/>
      <c r="H1475" s="872"/>
      <c r="I1475" s="871"/>
      <c r="J1475" s="871"/>
      <c r="K1475" s="870"/>
      <c r="L1475" s="870"/>
      <c r="M1475" s="870"/>
      <c r="N1475" s="870"/>
      <c r="O1475" s="870"/>
      <c r="P1475" s="870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73"/>
      <c r="E1476" s="677"/>
      <c r="F1476" s="677"/>
      <c r="G1476" s="677"/>
      <c r="H1476" s="872"/>
      <c r="I1476" s="871"/>
      <c r="J1476" s="871"/>
      <c r="K1476" s="870"/>
      <c r="L1476" s="870"/>
      <c r="M1476" s="870"/>
      <c r="N1476" s="870"/>
      <c r="O1476" s="870"/>
      <c r="P1476" s="870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73"/>
      <c r="E1477" s="677"/>
      <c r="F1477" s="677"/>
      <c r="G1477" s="677"/>
      <c r="H1477" s="872"/>
      <c r="I1477" s="871"/>
      <c r="J1477" s="871"/>
      <c r="K1477" s="870"/>
      <c r="L1477" s="870"/>
      <c r="M1477" s="870"/>
      <c r="N1477" s="870"/>
      <c r="O1477" s="870"/>
      <c r="P1477" s="870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73"/>
      <c r="E1478" s="677"/>
      <c r="F1478" s="677"/>
      <c r="G1478" s="677"/>
      <c r="H1478" s="872"/>
      <c r="I1478" s="871"/>
      <c r="J1478" s="871"/>
      <c r="K1478" s="870"/>
      <c r="L1478" s="870"/>
      <c r="M1478" s="870"/>
      <c r="N1478" s="870"/>
      <c r="O1478" s="870"/>
      <c r="P1478" s="870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73"/>
      <c r="E1479" s="677"/>
      <c r="F1479" s="677"/>
      <c r="G1479" s="677"/>
      <c r="H1479" s="872"/>
      <c r="I1479" s="871"/>
      <c r="J1479" s="871"/>
      <c r="K1479" s="870"/>
      <c r="L1479" s="870"/>
      <c r="M1479" s="870"/>
      <c r="N1479" s="870"/>
      <c r="O1479" s="870"/>
      <c r="P1479" s="870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73"/>
      <c r="E1480" s="677"/>
      <c r="F1480" s="677"/>
      <c r="G1480" s="677"/>
      <c r="H1480" s="872"/>
      <c r="I1480" s="871"/>
      <c r="J1480" s="871"/>
      <c r="K1480" s="870"/>
      <c r="L1480" s="870"/>
      <c r="M1480" s="870"/>
      <c r="N1480" s="870"/>
      <c r="O1480" s="870"/>
      <c r="P1480" s="870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73"/>
      <c r="E1481" s="677"/>
      <c r="F1481" s="677"/>
      <c r="G1481" s="677"/>
      <c r="H1481" s="872"/>
      <c r="I1481" s="871"/>
      <c r="J1481" s="871"/>
      <c r="K1481" s="870"/>
      <c r="L1481" s="870"/>
      <c r="M1481" s="870"/>
      <c r="N1481" s="870"/>
      <c r="O1481" s="870"/>
      <c r="P1481" s="870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73"/>
      <c r="E1482" s="677"/>
      <c r="F1482" s="677"/>
      <c r="G1482" s="677"/>
      <c r="H1482" s="872"/>
      <c r="I1482" s="871"/>
      <c r="J1482" s="871"/>
      <c r="K1482" s="870"/>
      <c r="L1482" s="870"/>
      <c r="M1482" s="870"/>
      <c r="N1482" s="870"/>
      <c r="O1482" s="870"/>
      <c r="P1482" s="870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73"/>
      <c r="E1483" s="677"/>
      <c r="F1483" s="677"/>
      <c r="G1483" s="677"/>
      <c r="H1483" s="872"/>
      <c r="I1483" s="871"/>
      <c r="J1483" s="871"/>
      <c r="K1483" s="870"/>
      <c r="L1483" s="870"/>
      <c r="M1483" s="870"/>
      <c r="N1483" s="870"/>
      <c r="O1483" s="870"/>
      <c r="P1483" s="870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73"/>
      <c r="E1484" s="677"/>
      <c r="F1484" s="677"/>
      <c r="G1484" s="677"/>
      <c r="H1484" s="872"/>
      <c r="I1484" s="871"/>
      <c r="J1484" s="871"/>
      <c r="K1484" s="870"/>
      <c r="L1484" s="870"/>
      <c r="M1484" s="870"/>
      <c r="N1484" s="870"/>
      <c r="O1484" s="870"/>
      <c r="P1484" s="870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73"/>
      <c r="E1485" s="677"/>
      <c r="F1485" s="677"/>
      <c r="G1485" s="677"/>
      <c r="H1485" s="872"/>
      <c r="I1485" s="871"/>
      <c r="J1485" s="871"/>
      <c r="K1485" s="870"/>
      <c r="L1485" s="870"/>
      <c r="M1485" s="870"/>
      <c r="N1485" s="870"/>
      <c r="O1485" s="870"/>
      <c r="P1485" s="870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73"/>
      <c r="E1486" s="677"/>
      <c r="F1486" s="677"/>
      <c r="G1486" s="677"/>
      <c r="H1486" s="872"/>
      <c r="I1486" s="871"/>
      <c r="J1486" s="871"/>
      <c r="K1486" s="870"/>
      <c r="L1486" s="870"/>
      <c r="M1486" s="870"/>
      <c r="N1486" s="870"/>
      <c r="O1486" s="870"/>
      <c r="P1486" s="870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73"/>
      <c r="E1487" s="677"/>
      <c r="F1487" s="677"/>
      <c r="G1487" s="677"/>
      <c r="H1487" s="872"/>
      <c r="I1487" s="871"/>
      <c r="J1487" s="871"/>
      <c r="K1487" s="870"/>
      <c r="L1487" s="870"/>
      <c r="M1487" s="870"/>
      <c r="N1487" s="870"/>
      <c r="O1487" s="870"/>
      <c r="P1487" s="870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73"/>
      <c r="E1488" s="677"/>
      <c r="F1488" s="677"/>
      <c r="G1488" s="677"/>
      <c r="H1488" s="872"/>
      <c r="I1488" s="871"/>
      <c r="J1488" s="871"/>
      <c r="K1488" s="870"/>
      <c r="L1488" s="870"/>
      <c r="M1488" s="870"/>
      <c r="N1488" s="870"/>
      <c r="O1488" s="870"/>
      <c r="P1488" s="870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73"/>
      <c r="E1489" s="677"/>
      <c r="F1489" s="677"/>
      <c r="G1489" s="677"/>
      <c r="H1489" s="872"/>
      <c r="I1489" s="871"/>
      <c r="J1489" s="871"/>
      <c r="K1489" s="870"/>
      <c r="L1489" s="870"/>
      <c r="M1489" s="870"/>
      <c r="N1489" s="870"/>
      <c r="O1489" s="870"/>
      <c r="P1489" s="870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73"/>
      <c r="E1490" s="677"/>
      <c r="F1490" s="677"/>
      <c r="G1490" s="677"/>
      <c r="H1490" s="872"/>
      <c r="I1490" s="871"/>
      <c r="J1490" s="871"/>
      <c r="K1490" s="870"/>
      <c r="L1490" s="870"/>
      <c r="M1490" s="870"/>
      <c r="N1490" s="870"/>
      <c r="O1490" s="870"/>
      <c r="P1490" s="870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73"/>
      <c r="E1491" s="677"/>
      <c r="F1491" s="677"/>
      <c r="G1491" s="677"/>
      <c r="H1491" s="872"/>
      <c r="I1491" s="871"/>
      <c r="J1491" s="871"/>
      <c r="K1491" s="870"/>
      <c r="L1491" s="870"/>
      <c r="M1491" s="870"/>
      <c r="N1491" s="870"/>
      <c r="O1491" s="870"/>
      <c r="P1491" s="870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73"/>
      <c r="E1492" s="677"/>
      <c r="F1492" s="677"/>
      <c r="G1492" s="677"/>
      <c r="H1492" s="872"/>
      <c r="I1492" s="871"/>
      <c r="J1492" s="871"/>
      <c r="K1492" s="870"/>
      <c r="L1492" s="870"/>
      <c r="M1492" s="870"/>
      <c r="N1492" s="870"/>
      <c r="O1492" s="870"/>
      <c r="P1492" s="870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73"/>
      <c r="E1493" s="677"/>
      <c r="F1493" s="677"/>
      <c r="G1493" s="677"/>
      <c r="H1493" s="872"/>
      <c r="I1493" s="871"/>
      <c r="J1493" s="871"/>
      <c r="K1493" s="870"/>
      <c r="L1493" s="870"/>
      <c r="M1493" s="870"/>
      <c r="N1493" s="870"/>
      <c r="O1493" s="870"/>
      <c r="P1493" s="870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73"/>
      <c r="E1494" s="677"/>
      <c r="F1494" s="677"/>
      <c r="G1494" s="677"/>
      <c r="H1494" s="872"/>
      <c r="I1494" s="871"/>
      <c r="J1494" s="871"/>
      <c r="K1494" s="870"/>
      <c r="L1494" s="870"/>
      <c r="M1494" s="870"/>
      <c r="N1494" s="870"/>
      <c r="O1494" s="870"/>
      <c r="P1494" s="870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73"/>
      <c r="E1495" s="677"/>
      <c r="F1495" s="677"/>
      <c r="G1495" s="677"/>
      <c r="H1495" s="872"/>
      <c r="I1495" s="871"/>
      <c r="J1495" s="871"/>
      <c r="K1495" s="870"/>
      <c r="L1495" s="870"/>
      <c r="M1495" s="870"/>
      <c r="N1495" s="870"/>
      <c r="O1495" s="870"/>
      <c r="P1495" s="870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73"/>
      <c r="E1496" s="677"/>
      <c r="F1496" s="677"/>
      <c r="G1496" s="677"/>
      <c r="H1496" s="872"/>
      <c r="I1496" s="871"/>
      <c r="J1496" s="871"/>
      <c r="K1496" s="870"/>
      <c r="L1496" s="870"/>
      <c r="M1496" s="870"/>
      <c r="N1496" s="870"/>
      <c r="O1496" s="870"/>
      <c r="P1496" s="870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73"/>
      <c r="E1497" s="677"/>
      <c r="F1497" s="677"/>
      <c r="G1497" s="677"/>
      <c r="H1497" s="872"/>
      <c r="I1497" s="871"/>
      <c r="J1497" s="871"/>
      <c r="K1497" s="870"/>
      <c r="L1497" s="870"/>
      <c r="M1497" s="870"/>
      <c r="N1497" s="870"/>
      <c r="O1497" s="870"/>
      <c r="P1497" s="870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73"/>
      <c r="E1498" s="677"/>
      <c r="F1498" s="677"/>
      <c r="G1498" s="677"/>
      <c r="H1498" s="872"/>
      <c r="I1498" s="871"/>
      <c r="J1498" s="871"/>
      <c r="K1498" s="870"/>
      <c r="L1498" s="870"/>
      <c r="M1498" s="870"/>
      <c r="N1498" s="870"/>
      <c r="O1498" s="870"/>
      <c r="P1498" s="870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73"/>
      <c r="E1499" s="677"/>
      <c r="F1499" s="677"/>
      <c r="G1499" s="677"/>
      <c r="H1499" s="872"/>
      <c r="I1499" s="871"/>
      <c r="J1499" s="871"/>
      <c r="K1499" s="870"/>
      <c r="L1499" s="870"/>
      <c r="M1499" s="870"/>
      <c r="N1499" s="870"/>
      <c r="O1499" s="870"/>
      <c r="P1499" s="870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73"/>
      <c r="E1500" s="677"/>
      <c r="F1500" s="677"/>
      <c r="G1500" s="677"/>
      <c r="H1500" s="872"/>
      <c r="I1500" s="871"/>
      <c r="J1500" s="871"/>
      <c r="K1500" s="870"/>
      <c r="L1500" s="870"/>
      <c r="M1500" s="870"/>
      <c r="N1500" s="870"/>
      <c r="O1500" s="870"/>
      <c r="P1500" s="870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73"/>
      <c r="E1501" s="677"/>
      <c r="F1501" s="677"/>
      <c r="G1501" s="677"/>
      <c r="H1501" s="872"/>
      <c r="I1501" s="871"/>
      <c r="J1501" s="871"/>
      <c r="K1501" s="870"/>
      <c r="L1501" s="870"/>
      <c r="M1501" s="870"/>
      <c r="N1501" s="870"/>
      <c r="O1501" s="870"/>
      <c r="P1501" s="870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73"/>
      <c r="E1502" s="677"/>
      <c r="F1502" s="677"/>
      <c r="G1502" s="677"/>
      <c r="H1502" s="872"/>
      <c r="I1502" s="871"/>
      <c r="J1502" s="871"/>
      <c r="K1502" s="870"/>
      <c r="L1502" s="870"/>
      <c r="M1502" s="870"/>
      <c r="N1502" s="870"/>
      <c r="O1502" s="870"/>
      <c r="P1502" s="870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73"/>
      <c r="E1503" s="677"/>
      <c r="F1503" s="677"/>
      <c r="G1503" s="677"/>
      <c r="H1503" s="872"/>
      <c r="I1503" s="871"/>
      <c r="J1503" s="871"/>
      <c r="K1503" s="870"/>
      <c r="L1503" s="870"/>
      <c r="M1503" s="870"/>
      <c r="N1503" s="870"/>
      <c r="O1503" s="870"/>
      <c r="P1503" s="870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73"/>
      <c r="E1504" s="677"/>
      <c r="F1504" s="677"/>
      <c r="G1504" s="677"/>
      <c r="H1504" s="872"/>
      <c r="I1504" s="871"/>
      <c r="J1504" s="871"/>
      <c r="K1504" s="870"/>
      <c r="L1504" s="870"/>
      <c r="M1504" s="870"/>
      <c r="N1504" s="870"/>
      <c r="O1504" s="870"/>
      <c r="P1504" s="870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73"/>
      <c r="E1505" s="677"/>
      <c r="F1505" s="677"/>
      <c r="G1505" s="677"/>
      <c r="H1505" s="872"/>
      <c r="I1505" s="871"/>
      <c r="J1505" s="871"/>
      <c r="K1505" s="870"/>
      <c r="L1505" s="870"/>
      <c r="M1505" s="870"/>
      <c r="N1505" s="870"/>
      <c r="O1505" s="870"/>
      <c r="P1505" s="870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73"/>
      <c r="E1506" s="677"/>
      <c r="F1506" s="677"/>
      <c r="G1506" s="677"/>
      <c r="H1506" s="872"/>
      <c r="I1506" s="871"/>
      <c r="J1506" s="871"/>
      <c r="K1506" s="870"/>
      <c r="L1506" s="870"/>
      <c r="M1506" s="870"/>
      <c r="N1506" s="870"/>
      <c r="O1506" s="870"/>
      <c r="P1506" s="870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73"/>
      <c r="E1507" s="677"/>
      <c r="F1507" s="677"/>
      <c r="G1507" s="677"/>
      <c r="H1507" s="872"/>
      <c r="I1507" s="871"/>
      <c r="J1507" s="871"/>
      <c r="K1507" s="870"/>
      <c r="L1507" s="870"/>
      <c r="M1507" s="870"/>
      <c r="N1507" s="870"/>
      <c r="O1507" s="870"/>
      <c r="P1507" s="870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73"/>
      <c r="E1508" s="677"/>
      <c r="F1508" s="677"/>
      <c r="G1508" s="677"/>
      <c r="H1508" s="872"/>
      <c r="I1508" s="871"/>
      <c r="J1508" s="871"/>
      <c r="K1508" s="870"/>
      <c r="L1508" s="870"/>
      <c r="M1508" s="870"/>
      <c r="N1508" s="870"/>
      <c r="O1508" s="870"/>
      <c r="P1508" s="870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73"/>
      <c r="E1509" s="677"/>
      <c r="F1509" s="677"/>
      <c r="G1509" s="677"/>
      <c r="H1509" s="872"/>
      <c r="I1509" s="871"/>
      <c r="J1509" s="871"/>
      <c r="K1509" s="870"/>
      <c r="L1509" s="870"/>
      <c r="M1509" s="870"/>
      <c r="N1509" s="870"/>
      <c r="O1509" s="870"/>
      <c r="P1509" s="870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73"/>
      <c r="E1510" s="677"/>
      <c r="F1510" s="677"/>
      <c r="G1510" s="677"/>
      <c r="H1510" s="872"/>
      <c r="I1510" s="871"/>
      <c r="J1510" s="871"/>
      <c r="K1510" s="870"/>
      <c r="L1510" s="870"/>
      <c r="M1510" s="870"/>
      <c r="N1510" s="870"/>
      <c r="O1510" s="870"/>
      <c r="P1510" s="870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73"/>
      <c r="E1511" s="677"/>
      <c r="F1511" s="677"/>
      <c r="G1511" s="677"/>
      <c r="H1511" s="872"/>
      <c r="I1511" s="871"/>
      <c r="J1511" s="871"/>
      <c r="K1511" s="870"/>
      <c r="L1511" s="870"/>
      <c r="M1511" s="870"/>
      <c r="N1511" s="870"/>
      <c r="O1511" s="870"/>
      <c r="P1511" s="870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73"/>
      <c r="E1512" s="677"/>
      <c r="F1512" s="677"/>
      <c r="G1512" s="677"/>
      <c r="H1512" s="872"/>
      <c r="I1512" s="871"/>
      <c r="J1512" s="871"/>
      <c r="K1512" s="870"/>
      <c r="L1512" s="870"/>
      <c r="M1512" s="870"/>
      <c r="N1512" s="870"/>
      <c r="O1512" s="870"/>
      <c r="P1512" s="870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73"/>
      <c r="E1513" s="677"/>
      <c r="F1513" s="677"/>
      <c r="G1513" s="677"/>
      <c r="H1513" s="872"/>
      <c r="I1513" s="871"/>
      <c r="J1513" s="871"/>
      <c r="K1513" s="870"/>
      <c r="L1513" s="870"/>
      <c r="M1513" s="870"/>
      <c r="N1513" s="870"/>
      <c r="O1513" s="870"/>
      <c r="P1513" s="870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73"/>
      <c r="E1514" s="677"/>
      <c r="F1514" s="677"/>
      <c r="G1514" s="677"/>
      <c r="H1514" s="872"/>
      <c r="I1514" s="871"/>
      <c r="J1514" s="871"/>
      <c r="K1514" s="870"/>
      <c r="L1514" s="870"/>
      <c r="M1514" s="870"/>
      <c r="N1514" s="870"/>
      <c r="O1514" s="870"/>
      <c r="P1514" s="870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73"/>
      <c r="E1515" s="677"/>
      <c r="F1515" s="677"/>
      <c r="G1515" s="677"/>
      <c r="H1515" s="872"/>
      <c r="I1515" s="871"/>
      <c r="J1515" s="871"/>
      <c r="K1515" s="870"/>
      <c r="L1515" s="870"/>
      <c r="M1515" s="870"/>
      <c r="N1515" s="870"/>
      <c r="O1515" s="870"/>
      <c r="P1515" s="870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73"/>
      <c r="E1516" s="677"/>
      <c r="F1516" s="677"/>
      <c r="G1516" s="677"/>
      <c r="H1516" s="872"/>
      <c r="I1516" s="871"/>
      <c r="J1516" s="871"/>
      <c r="K1516" s="870"/>
      <c r="L1516" s="870"/>
      <c r="M1516" s="870"/>
      <c r="N1516" s="870"/>
      <c r="O1516" s="870"/>
      <c r="P1516" s="870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73"/>
      <c r="E1517" s="677"/>
      <c r="F1517" s="677"/>
      <c r="G1517" s="677"/>
      <c r="H1517" s="872"/>
      <c r="I1517" s="871"/>
      <c r="J1517" s="871"/>
      <c r="K1517" s="870"/>
      <c r="L1517" s="870"/>
      <c r="M1517" s="870"/>
      <c r="N1517" s="870"/>
      <c r="O1517" s="870"/>
      <c r="P1517" s="870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73"/>
      <c r="E1518" s="677"/>
      <c r="F1518" s="677"/>
      <c r="G1518" s="677"/>
      <c r="H1518" s="872"/>
      <c r="I1518" s="871"/>
      <c r="J1518" s="871"/>
      <c r="K1518" s="870"/>
      <c r="L1518" s="870"/>
      <c r="M1518" s="870"/>
      <c r="N1518" s="870"/>
      <c r="O1518" s="870"/>
      <c r="P1518" s="870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73"/>
      <c r="E1519" s="677"/>
      <c r="F1519" s="677"/>
      <c r="G1519" s="677"/>
      <c r="H1519" s="872"/>
      <c r="I1519" s="871"/>
      <c r="J1519" s="871"/>
      <c r="K1519" s="870"/>
      <c r="L1519" s="870"/>
      <c r="M1519" s="870"/>
      <c r="N1519" s="870"/>
      <c r="O1519" s="870"/>
      <c r="P1519" s="870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73"/>
      <c r="E1520" s="677"/>
      <c r="F1520" s="677"/>
      <c r="G1520" s="677"/>
      <c r="H1520" s="872"/>
      <c r="I1520" s="871"/>
      <c r="J1520" s="871"/>
      <c r="K1520" s="870"/>
      <c r="L1520" s="870"/>
      <c r="M1520" s="870"/>
      <c r="N1520" s="870"/>
      <c r="O1520" s="870"/>
      <c r="P1520" s="870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73"/>
      <c r="E1521" s="677"/>
      <c r="F1521" s="677"/>
      <c r="G1521" s="677"/>
      <c r="H1521" s="872"/>
      <c r="I1521" s="871"/>
      <c r="J1521" s="871"/>
      <c r="K1521" s="870"/>
      <c r="L1521" s="870"/>
      <c r="M1521" s="870"/>
      <c r="N1521" s="870"/>
      <c r="O1521" s="870"/>
      <c r="P1521" s="870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73"/>
      <c r="E1522" s="677"/>
      <c r="F1522" s="677"/>
      <c r="G1522" s="677"/>
      <c r="H1522" s="872"/>
      <c r="I1522" s="871"/>
      <c r="J1522" s="871"/>
      <c r="K1522" s="870"/>
      <c r="L1522" s="870"/>
      <c r="M1522" s="870"/>
      <c r="N1522" s="870"/>
      <c r="O1522" s="870"/>
      <c r="P1522" s="870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73"/>
      <c r="E1523" s="677"/>
      <c r="F1523" s="677"/>
      <c r="G1523" s="677"/>
      <c r="H1523" s="872"/>
      <c r="I1523" s="871"/>
      <c r="J1523" s="871"/>
      <c r="K1523" s="870"/>
      <c r="L1523" s="870"/>
      <c r="M1523" s="870"/>
      <c r="N1523" s="870"/>
      <c r="O1523" s="870"/>
      <c r="P1523" s="870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73"/>
      <c r="E1524" s="677"/>
      <c r="F1524" s="677"/>
      <c r="G1524" s="677"/>
      <c r="H1524" s="872"/>
      <c r="I1524" s="871"/>
      <c r="J1524" s="871"/>
      <c r="K1524" s="870"/>
      <c r="L1524" s="870"/>
      <c r="M1524" s="870"/>
      <c r="N1524" s="870"/>
      <c r="O1524" s="870"/>
      <c r="P1524" s="870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73"/>
      <c r="E1525" s="677"/>
      <c r="F1525" s="677"/>
      <c r="G1525" s="677"/>
      <c r="H1525" s="872"/>
      <c r="I1525" s="871"/>
      <c r="J1525" s="871"/>
      <c r="K1525" s="870"/>
      <c r="L1525" s="870"/>
      <c r="M1525" s="870"/>
      <c r="N1525" s="870"/>
      <c r="O1525" s="870"/>
      <c r="P1525" s="870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73"/>
      <c r="E1526" s="677"/>
      <c r="F1526" s="677"/>
      <c r="G1526" s="677"/>
      <c r="H1526" s="872"/>
      <c r="I1526" s="871"/>
      <c r="J1526" s="871"/>
      <c r="K1526" s="870"/>
      <c r="L1526" s="870"/>
      <c r="M1526" s="870"/>
      <c r="N1526" s="870"/>
      <c r="O1526" s="870"/>
      <c r="P1526" s="870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73"/>
      <c r="E1527" s="677"/>
      <c r="F1527" s="677"/>
      <c r="G1527" s="677"/>
      <c r="H1527" s="872"/>
      <c r="I1527" s="871"/>
      <c r="J1527" s="871"/>
      <c r="K1527" s="870"/>
      <c r="L1527" s="870"/>
      <c r="M1527" s="870"/>
      <c r="N1527" s="870"/>
      <c r="O1527" s="870"/>
      <c r="P1527" s="870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73"/>
      <c r="E1528" s="677"/>
      <c r="F1528" s="677"/>
      <c r="G1528" s="677"/>
      <c r="H1528" s="872"/>
      <c r="I1528" s="871"/>
      <c r="J1528" s="871"/>
      <c r="K1528" s="870"/>
      <c r="L1528" s="870"/>
      <c r="M1528" s="870"/>
      <c r="N1528" s="870"/>
      <c r="O1528" s="870"/>
      <c r="P1528" s="870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73"/>
      <c r="E1529" s="677"/>
      <c r="F1529" s="677"/>
      <c r="G1529" s="677"/>
      <c r="H1529" s="872"/>
      <c r="I1529" s="871"/>
      <c r="J1529" s="871"/>
      <c r="K1529" s="870"/>
      <c r="L1529" s="870"/>
      <c r="M1529" s="870"/>
      <c r="N1529" s="870"/>
      <c r="O1529" s="870"/>
      <c r="P1529" s="870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73"/>
      <c r="E1530" s="677"/>
      <c r="F1530" s="677"/>
      <c r="G1530" s="677"/>
      <c r="H1530" s="872"/>
      <c r="I1530" s="871"/>
      <c r="J1530" s="871"/>
      <c r="K1530" s="870"/>
      <c r="L1530" s="870"/>
      <c r="M1530" s="870"/>
      <c r="N1530" s="870"/>
      <c r="O1530" s="870"/>
      <c r="P1530" s="870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73"/>
      <c r="E1531" s="677"/>
      <c r="F1531" s="677"/>
      <c r="G1531" s="677"/>
      <c r="H1531" s="872"/>
      <c r="I1531" s="871"/>
      <c r="J1531" s="871"/>
      <c r="K1531" s="870"/>
      <c r="L1531" s="870"/>
      <c r="M1531" s="870"/>
      <c r="N1531" s="870"/>
      <c r="O1531" s="870"/>
      <c r="P1531" s="870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73"/>
      <c r="E1532" s="677"/>
      <c r="F1532" s="677"/>
      <c r="G1532" s="677"/>
      <c r="H1532" s="872"/>
      <c r="I1532" s="871"/>
      <c r="J1532" s="871"/>
      <c r="K1532" s="870"/>
      <c r="L1532" s="870"/>
      <c r="M1532" s="870"/>
      <c r="N1532" s="870"/>
      <c r="O1532" s="870"/>
      <c r="P1532" s="870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73"/>
      <c r="E1533" s="677"/>
      <c r="F1533" s="677"/>
      <c r="G1533" s="677"/>
      <c r="H1533" s="872"/>
      <c r="I1533" s="871"/>
      <c r="J1533" s="871"/>
      <c r="K1533" s="870"/>
      <c r="L1533" s="870"/>
      <c r="M1533" s="870"/>
      <c r="N1533" s="870"/>
      <c r="O1533" s="870"/>
      <c r="P1533" s="870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73"/>
      <c r="E1534" s="677"/>
      <c r="F1534" s="677"/>
      <c r="G1534" s="677"/>
      <c r="H1534" s="872"/>
      <c r="I1534" s="871"/>
      <c r="J1534" s="871"/>
      <c r="K1534" s="870"/>
      <c r="L1534" s="870"/>
      <c r="M1534" s="870"/>
      <c r="N1534" s="870"/>
      <c r="O1534" s="870"/>
      <c r="P1534" s="870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73"/>
      <c r="E1535" s="677"/>
      <c r="F1535" s="677"/>
      <c r="G1535" s="677"/>
      <c r="H1535" s="872"/>
      <c r="I1535" s="871"/>
      <c r="J1535" s="871"/>
      <c r="K1535" s="870"/>
      <c r="L1535" s="870"/>
      <c r="M1535" s="870"/>
      <c r="N1535" s="870"/>
      <c r="O1535" s="870"/>
      <c r="P1535" s="870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73"/>
      <c r="E1536" s="677"/>
      <c r="F1536" s="677"/>
      <c r="G1536" s="677"/>
      <c r="H1536" s="872"/>
      <c r="I1536" s="871"/>
      <c r="J1536" s="871"/>
      <c r="K1536" s="870"/>
      <c r="L1536" s="870"/>
      <c r="M1536" s="870"/>
      <c r="N1536" s="870"/>
      <c r="O1536" s="870"/>
      <c r="P1536" s="870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73"/>
      <c r="E1537" s="677"/>
      <c r="F1537" s="677"/>
      <c r="G1537" s="677"/>
      <c r="H1537" s="872"/>
      <c r="I1537" s="871"/>
      <c r="J1537" s="871"/>
      <c r="K1537" s="870"/>
      <c r="L1537" s="870"/>
      <c r="M1537" s="870"/>
      <c r="N1537" s="870"/>
      <c r="O1537" s="870"/>
      <c r="P1537" s="870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73"/>
      <c r="E1538" s="677"/>
      <c r="F1538" s="677"/>
      <c r="G1538" s="677"/>
      <c r="H1538" s="872"/>
      <c r="I1538" s="871"/>
      <c r="J1538" s="871"/>
      <c r="K1538" s="870"/>
      <c r="L1538" s="870"/>
      <c r="M1538" s="870"/>
      <c r="N1538" s="870"/>
      <c r="O1538" s="870"/>
      <c r="P1538" s="870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73"/>
      <c r="E1539" s="677"/>
      <c r="F1539" s="677"/>
      <c r="G1539" s="677"/>
      <c r="H1539" s="872"/>
      <c r="I1539" s="871"/>
      <c r="J1539" s="871"/>
      <c r="K1539" s="870"/>
      <c r="L1539" s="870"/>
      <c r="M1539" s="870"/>
      <c r="N1539" s="870"/>
      <c r="O1539" s="870"/>
      <c r="P1539" s="870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73"/>
      <c r="E1540" s="677"/>
      <c r="F1540" s="677"/>
      <c r="G1540" s="677"/>
      <c r="H1540" s="872"/>
      <c r="I1540" s="871"/>
      <c r="J1540" s="871"/>
      <c r="K1540" s="870"/>
      <c r="L1540" s="870"/>
      <c r="M1540" s="870"/>
      <c r="N1540" s="870"/>
      <c r="O1540" s="870"/>
      <c r="P1540" s="870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73"/>
      <c r="E1541" s="677"/>
      <c r="F1541" s="677"/>
      <c r="G1541" s="677"/>
      <c r="H1541" s="872"/>
      <c r="I1541" s="871"/>
      <c r="J1541" s="871"/>
      <c r="K1541" s="870"/>
      <c r="L1541" s="870"/>
      <c r="M1541" s="870"/>
      <c r="N1541" s="870"/>
      <c r="O1541" s="870"/>
      <c r="P1541" s="870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73"/>
      <c r="E1542" s="677"/>
      <c r="F1542" s="677"/>
      <c r="G1542" s="677"/>
      <c r="H1542" s="872"/>
      <c r="I1542" s="871"/>
      <c r="J1542" s="871"/>
      <c r="K1542" s="870"/>
      <c r="L1542" s="870"/>
      <c r="M1542" s="870"/>
      <c r="N1542" s="870"/>
      <c r="O1542" s="870"/>
      <c r="P1542" s="870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73"/>
      <c r="E1543" s="677"/>
      <c r="F1543" s="677"/>
      <c r="G1543" s="677"/>
      <c r="H1543" s="872"/>
      <c r="I1543" s="871"/>
      <c r="J1543" s="871"/>
      <c r="K1543" s="870"/>
      <c r="L1543" s="870"/>
      <c r="M1543" s="870"/>
      <c r="N1543" s="870"/>
      <c r="O1543" s="870"/>
      <c r="P1543" s="870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73"/>
      <c r="E1544" s="677"/>
      <c r="F1544" s="677"/>
      <c r="G1544" s="677"/>
      <c r="H1544" s="872"/>
      <c r="I1544" s="871"/>
      <c r="J1544" s="871"/>
      <c r="K1544" s="870"/>
      <c r="L1544" s="870"/>
      <c r="M1544" s="870"/>
      <c r="N1544" s="870"/>
      <c r="O1544" s="870"/>
      <c r="P1544" s="870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73"/>
      <c r="E1545" s="677"/>
      <c r="F1545" s="677"/>
      <c r="G1545" s="677"/>
      <c r="H1545" s="872"/>
      <c r="I1545" s="871"/>
      <c r="J1545" s="871"/>
      <c r="K1545" s="870"/>
      <c r="L1545" s="870"/>
      <c r="M1545" s="870"/>
      <c r="N1545" s="870"/>
      <c r="O1545" s="870"/>
      <c r="P1545" s="870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73"/>
      <c r="E1546" s="677"/>
      <c r="F1546" s="677"/>
      <c r="G1546" s="677"/>
      <c r="H1546" s="872"/>
      <c r="I1546" s="871"/>
      <c r="J1546" s="871"/>
      <c r="K1546" s="870"/>
      <c r="L1546" s="870"/>
      <c r="M1546" s="870"/>
      <c r="N1546" s="870"/>
      <c r="O1546" s="870"/>
      <c r="P1546" s="870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73"/>
      <c r="E1547" s="677"/>
      <c r="F1547" s="677"/>
      <c r="G1547" s="677"/>
      <c r="H1547" s="872"/>
      <c r="I1547" s="871"/>
      <c r="J1547" s="871"/>
      <c r="K1547" s="870"/>
      <c r="L1547" s="870"/>
      <c r="M1547" s="870"/>
      <c r="N1547" s="870"/>
      <c r="O1547" s="870"/>
      <c r="P1547" s="870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73"/>
      <c r="E1548" s="677"/>
      <c r="F1548" s="677"/>
      <c r="G1548" s="677"/>
      <c r="H1548" s="872"/>
      <c r="I1548" s="871"/>
      <c r="J1548" s="871"/>
      <c r="K1548" s="870"/>
      <c r="L1548" s="870"/>
      <c r="M1548" s="870"/>
      <c r="N1548" s="870"/>
      <c r="O1548" s="870"/>
      <c r="P1548" s="870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73"/>
      <c r="E1549" s="677"/>
      <c r="F1549" s="677"/>
      <c r="G1549" s="677"/>
      <c r="H1549" s="872"/>
      <c r="I1549" s="871"/>
      <c r="J1549" s="871"/>
      <c r="K1549" s="870"/>
      <c r="L1549" s="870"/>
      <c r="M1549" s="870"/>
      <c r="N1549" s="870"/>
      <c r="O1549" s="870"/>
      <c r="P1549" s="870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73"/>
      <c r="E1550" s="677"/>
      <c r="F1550" s="677"/>
      <c r="G1550" s="677"/>
      <c r="H1550" s="872"/>
      <c r="I1550" s="871"/>
      <c r="J1550" s="871"/>
      <c r="K1550" s="870"/>
      <c r="L1550" s="870"/>
      <c r="M1550" s="870"/>
      <c r="N1550" s="870"/>
      <c r="O1550" s="870"/>
      <c r="P1550" s="870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73"/>
      <c r="E1551" s="677"/>
      <c r="F1551" s="677"/>
      <c r="G1551" s="677"/>
      <c r="H1551" s="872"/>
      <c r="I1551" s="871"/>
      <c r="J1551" s="871"/>
      <c r="K1551" s="870"/>
      <c r="L1551" s="870"/>
      <c r="M1551" s="870"/>
      <c r="N1551" s="870"/>
      <c r="O1551" s="870"/>
      <c r="P1551" s="870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73"/>
      <c r="E1552" s="677"/>
      <c r="F1552" s="677"/>
      <c r="G1552" s="677"/>
      <c r="H1552" s="872"/>
      <c r="I1552" s="871"/>
      <c r="J1552" s="871"/>
      <c r="K1552" s="870"/>
      <c r="L1552" s="870"/>
      <c r="M1552" s="870"/>
      <c r="N1552" s="870"/>
      <c r="O1552" s="870"/>
      <c r="P1552" s="870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73"/>
      <c r="E1553" s="677"/>
      <c r="F1553" s="677"/>
      <c r="G1553" s="677"/>
      <c r="H1553" s="872"/>
      <c r="I1553" s="871"/>
      <c r="J1553" s="871"/>
      <c r="K1553" s="870"/>
      <c r="L1553" s="870"/>
      <c r="M1553" s="870"/>
      <c r="N1553" s="870"/>
      <c r="O1553" s="870"/>
      <c r="P1553" s="870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73"/>
      <c r="E1554" s="677"/>
      <c r="F1554" s="677"/>
      <c r="G1554" s="677"/>
      <c r="H1554" s="872"/>
      <c r="I1554" s="871"/>
      <c r="J1554" s="871"/>
      <c r="K1554" s="870"/>
      <c r="L1554" s="870"/>
      <c r="M1554" s="870"/>
      <c r="N1554" s="870"/>
      <c r="O1554" s="870"/>
      <c r="P1554" s="870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73"/>
      <c r="E1555" s="677"/>
      <c r="F1555" s="677"/>
      <c r="G1555" s="677"/>
      <c r="H1555" s="872"/>
      <c r="I1555" s="871"/>
      <c r="J1555" s="871"/>
      <c r="K1555" s="870"/>
      <c r="L1555" s="870"/>
      <c r="M1555" s="870"/>
      <c r="N1555" s="870"/>
      <c r="O1555" s="870"/>
      <c r="P1555" s="870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73"/>
      <c r="E1556" s="677"/>
      <c r="F1556" s="677"/>
      <c r="G1556" s="677"/>
      <c r="H1556" s="872"/>
      <c r="I1556" s="871"/>
      <c r="J1556" s="871"/>
      <c r="K1556" s="870"/>
      <c r="L1556" s="870"/>
      <c r="M1556" s="870"/>
      <c r="N1556" s="870"/>
      <c r="O1556" s="870"/>
      <c r="P1556" s="870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73"/>
      <c r="E1557" s="677"/>
      <c r="F1557" s="677"/>
      <c r="G1557" s="677"/>
      <c r="H1557" s="872"/>
      <c r="I1557" s="871"/>
      <c r="J1557" s="871"/>
      <c r="K1557" s="870"/>
      <c r="L1557" s="870"/>
      <c r="M1557" s="870"/>
      <c r="N1557" s="870"/>
      <c r="O1557" s="870"/>
      <c r="P1557" s="870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73"/>
      <c r="E1558" s="677"/>
      <c r="F1558" s="677"/>
      <c r="G1558" s="677"/>
      <c r="H1558" s="872"/>
      <c r="I1558" s="871"/>
      <c r="J1558" s="871"/>
      <c r="K1558" s="870"/>
      <c r="L1558" s="870"/>
      <c r="M1558" s="870"/>
      <c r="N1558" s="870"/>
      <c r="O1558" s="870"/>
      <c r="P1558" s="870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73"/>
      <c r="E1559" s="677"/>
      <c r="F1559" s="677"/>
      <c r="G1559" s="677"/>
      <c r="H1559" s="872"/>
      <c r="I1559" s="871"/>
      <c r="J1559" s="871"/>
      <c r="K1559" s="870"/>
      <c r="L1559" s="870"/>
      <c r="M1559" s="870"/>
      <c r="N1559" s="870"/>
      <c r="O1559" s="870"/>
      <c r="P1559" s="870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73"/>
      <c r="E1560" s="677"/>
      <c r="F1560" s="677"/>
      <c r="G1560" s="677"/>
      <c r="H1560" s="872"/>
      <c r="I1560" s="871"/>
      <c r="J1560" s="871"/>
      <c r="K1560" s="870"/>
      <c r="L1560" s="870"/>
      <c r="M1560" s="870"/>
      <c r="N1560" s="870"/>
      <c r="O1560" s="870"/>
      <c r="P1560" s="870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73"/>
      <c r="E1561" s="677"/>
      <c r="F1561" s="677"/>
      <c r="G1561" s="677"/>
      <c r="H1561" s="872"/>
      <c r="I1561" s="871"/>
      <c r="J1561" s="871"/>
      <c r="K1561" s="870"/>
      <c r="L1561" s="870"/>
      <c r="M1561" s="870"/>
      <c r="N1561" s="870"/>
      <c r="O1561" s="870"/>
      <c r="P1561" s="870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73"/>
      <c r="E1562" s="677"/>
      <c r="F1562" s="677"/>
      <c r="G1562" s="677"/>
      <c r="H1562" s="872"/>
      <c r="I1562" s="871"/>
      <c r="J1562" s="871"/>
      <c r="K1562" s="870"/>
      <c r="L1562" s="870"/>
      <c r="M1562" s="870"/>
      <c r="N1562" s="870"/>
      <c r="O1562" s="870"/>
      <c r="P1562" s="870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73"/>
      <c r="E1563" s="677"/>
      <c r="F1563" s="677"/>
      <c r="G1563" s="677"/>
      <c r="H1563" s="872"/>
      <c r="I1563" s="871"/>
      <c r="J1563" s="871"/>
      <c r="K1563" s="870"/>
      <c r="L1563" s="870"/>
      <c r="M1563" s="870"/>
      <c r="N1563" s="870"/>
      <c r="O1563" s="870"/>
      <c r="P1563" s="870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73"/>
      <c r="E1564" s="677"/>
      <c r="F1564" s="677"/>
      <c r="G1564" s="677"/>
      <c r="H1564" s="872"/>
      <c r="I1564" s="871"/>
      <c r="J1564" s="871"/>
      <c r="K1564" s="870"/>
      <c r="L1564" s="870"/>
      <c r="M1564" s="870"/>
      <c r="N1564" s="870"/>
      <c r="O1564" s="870"/>
      <c r="P1564" s="870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73"/>
      <c r="E1565" s="677"/>
      <c r="F1565" s="677"/>
      <c r="G1565" s="677"/>
      <c r="H1565" s="872"/>
      <c r="I1565" s="871"/>
      <c r="J1565" s="871"/>
      <c r="K1565" s="870"/>
      <c r="L1565" s="870"/>
      <c r="M1565" s="870"/>
      <c r="N1565" s="870"/>
      <c r="O1565" s="870"/>
      <c r="P1565" s="870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73"/>
      <c r="E1566" s="677"/>
      <c r="F1566" s="677"/>
      <c r="G1566" s="677"/>
      <c r="H1566" s="872"/>
      <c r="I1566" s="871"/>
      <c r="J1566" s="871"/>
      <c r="K1566" s="870"/>
      <c r="L1566" s="870"/>
      <c r="M1566" s="870"/>
      <c r="N1566" s="870"/>
      <c r="O1566" s="870"/>
      <c r="P1566" s="870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73"/>
      <c r="E1567" s="677"/>
      <c r="F1567" s="677"/>
      <c r="G1567" s="677"/>
      <c r="H1567" s="872"/>
      <c r="I1567" s="871"/>
      <c r="J1567" s="871"/>
      <c r="K1567" s="870"/>
      <c r="L1567" s="870"/>
      <c r="M1567" s="870"/>
      <c r="N1567" s="870"/>
      <c r="O1567" s="870"/>
      <c r="P1567" s="870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73"/>
      <c r="E1568" s="677"/>
      <c r="F1568" s="677"/>
      <c r="G1568" s="677"/>
      <c r="H1568" s="872"/>
      <c r="I1568" s="871"/>
      <c r="J1568" s="871"/>
      <c r="K1568" s="870"/>
      <c r="L1568" s="870"/>
      <c r="M1568" s="870"/>
      <c r="N1568" s="870"/>
      <c r="O1568" s="870"/>
      <c r="P1568" s="870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73"/>
      <c r="E1569" s="677"/>
      <c r="F1569" s="677"/>
      <c r="G1569" s="677"/>
      <c r="H1569" s="872"/>
      <c r="I1569" s="871"/>
      <c r="J1569" s="871"/>
      <c r="K1569" s="870"/>
      <c r="L1569" s="870"/>
      <c r="M1569" s="870"/>
      <c r="N1569" s="870"/>
      <c r="O1569" s="870"/>
      <c r="P1569" s="870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73"/>
      <c r="E1570" s="677"/>
      <c r="F1570" s="677"/>
      <c r="G1570" s="677"/>
      <c r="H1570" s="872"/>
      <c r="I1570" s="871"/>
      <c r="J1570" s="871"/>
      <c r="K1570" s="870"/>
      <c r="L1570" s="870"/>
      <c r="M1570" s="870"/>
      <c r="N1570" s="870"/>
      <c r="O1570" s="870"/>
      <c r="P1570" s="870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73"/>
      <c r="E1571" s="677"/>
      <c r="F1571" s="677"/>
      <c r="G1571" s="677"/>
      <c r="H1571" s="872"/>
      <c r="I1571" s="871"/>
      <c r="J1571" s="871"/>
      <c r="K1571" s="870"/>
      <c r="L1571" s="870"/>
      <c r="M1571" s="870"/>
      <c r="N1571" s="870"/>
      <c r="O1571" s="870"/>
      <c r="P1571" s="870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73"/>
      <c r="E1572" s="677"/>
      <c r="F1572" s="677"/>
      <c r="G1572" s="677"/>
      <c r="H1572" s="872"/>
      <c r="I1572" s="871"/>
      <c r="J1572" s="871"/>
      <c r="K1572" s="870"/>
      <c r="L1572" s="870"/>
      <c r="M1572" s="870"/>
      <c r="N1572" s="870"/>
      <c r="O1572" s="870"/>
      <c r="P1572" s="870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73"/>
      <c r="E1573" s="677"/>
      <c r="F1573" s="677"/>
      <c r="G1573" s="677"/>
      <c r="H1573" s="872"/>
      <c r="I1573" s="871"/>
      <c r="J1573" s="871"/>
      <c r="K1573" s="870"/>
      <c r="L1573" s="870"/>
      <c r="M1573" s="870"/>
      <c r="N1573" s="870"/>
      <c r="O1573" s="870"/>
      <c r="P1573" s="870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73"/>
      <c r="E1574" s="677"/>
      <c r="F1574" s="677"/>
      <c r="G1574" s="677"/>
      <c r="H1574" s="872"/>
      <c r="I1574" s="871"/>
      <c r="J1574" s="871"/>
      <c r="K1574" s="870"/>
      <c r="L1574" s="870"/>
      <c r="M1574" s="870"/>
      <c r="N1574" s="870"/>
      <c r="O1574" s="870"/>
      <c r="P1574" s="870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73"/>
      <c r="E1575" s="677"/>
      <c r="F1575" s="677"/>
      <c r="G1575" s="677"/>
      <c r="H1575" s="872"/>
      <c r="I1575" s="871"/>
      <c r="J1575" s="871"/>
      <c r="K1575" s="870"/>
      <c r="L1575" s="870"/>
      <c r="M1575" s="870"/>
      <c r="N1575" s="870"/>
      <c r="O1575" s="870"/>
      <c r="P1575" s="870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73"/>
      <c r="E1576" s="677"/>
      <c r="F1576" s="677"/>
      <c r="G1576" s="677"/>
      <c r="H1576" s="872"/>
      <c r="I1576" s="871"/>
      <c r="J1576" s="871"/>
      <c r="K1576" s="870"/>
      <c r="L1576" s="870"/>
      <c r="M1576" s="870"/>
      <c r="N1576" s="870"/>
      <c r="O1576" s="870"/>
      <c r="P1576" s="870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73"/>
      <c r="E1577" s="677"/>
      <c r="F1577" s="677"/>
      <c r="G1577" s="677"/>
      <c r="H1577" s="872"/>
      <c r="I1577" s="871"/>
      <c r="J1577" s="871"/>
      <c r="K1577" s="870"/>
      <c r="L1577" s="870"/>
      <c r="M1577" s="870"/>
      <c r="N1577" s="870"/>
      <c r="O1577" s="870"/>
      <c r="P1577" s="870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73"/>
      <c r="E1578" s="677"/>
      <c r="F1578" s="677"/>
      <c r="G1578" s="677"/>
      <c r="H1578" s="872"/>
      <c r="I1578" s="871"/>
      <c r="J1578" s="871"/>
      <c r="K1578" s="870"/>
      <c r="L1578" s="870"/>
      <c r="M1578" s="870"/>
      <c r="N1578" s="870"/>
      <c r="O1578" s="870"/>
      <c r="P1578" s="870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73"/>
      <c r="E1579" s="677"/>
      <c r="F1579" s="677"/>
      <c r="G1579" s="677"/>
      <c r="H1579" s="872"/>
      <c r="I1579" s="871"/>
      <c r="J1579" s="871"/>
      <c r="K1579" s="870"/>
      <c r="L1579" s="870"/>
      <c r="M1579" s="870"/>
      <c r="N1579" s="870"/>
      <c r="O1579" s="870"/>
      <c r="P1579" s="870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73"/>
      <c r="E1580" s="677"/>
      <c r="F1580" s="677"/>
      <c r="G1580" s="677"/>
      <c r="H1580" s="872"/>
      <c r="I1580" s="871"/>
      <c r="J1580" s="871"/>
      <c r="K1580" s="870"/>
      <c r="L1580" s="870"/>
      <c r="M1580" s="870"/>
      <c r="N1580" s="870"/>
      <c r="O1580" s="870"/>
      <c r="P1580" s="870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73"/>
      <c r="E1581" s="677"/>
      <c r="F1581" s="677"/>
      <c r="G1581" s="677"/>
      <c r="H1581" s="872"/>
      <c r="I1581" s="871"/>
      <c r="J1581" s="871"/>
      <c r="K1581" s="870"/>
      <c r="L1581" s="870"/>
      <c r="M1581" s="870"/>
      <c r="N1581" s="870"/>
      <c r="O1581" s="870"/>
      <c r="P1581" s="870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73"/>
      <c r="E1582" s="677"/>
      <c r="F1582" s="677"/>
      <c r="G1582" s="677"/>
      <c r="H1582" s="872"/>
      <c r="I1582" s="871"/>
      <c r="J1582" s="871"/>
      <c r="K1582" s="870"/>
      <c r="L1582" s="870"/>
      <c r="M1582" s="870"/>
      <c r="N1582" s="870"/>
      <c r="O1582" s="870"/>
      <c r="P1582" s="870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73"/>
      <c r="E1583" s="677"/>
      <c r="F1583" s="677"/>
      <c r="G1583" s="677"/>
      <c r="H1583" s="872"/>
      <c r="I1583" s="871"/>
      <c r="J1583" s="871"/>
      <c r="K1583" s="870"/>
      <c r="L1583" s="870"/>
      <c r="M1583" s="870"/>
      <c r="N1583" s="870"/>
      <c r="O1583" s="870"/>
      <c r="P1583" s="870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73"/>
      <c r="E1584" s="677"/>
      <c r="F1584" s="677"/>
      <c r="G1584" s="677"/>
      <c r="H1584" s="872"/>
      <c r="I1584" s="871"/>
      <c r="J1584" s="871"/>
      <c r="K1584" s="870"/>
      <c r="L1584" s="870"/>
      <c r="M1584" s="870"/>
      <c r="N1584" s="870"/>
      <c r="O1584" s="870"/>
      <c r="P1584" s="870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73"/>
      <c r="E1585" s="677"/>
      <c r="F1585" s="677"/>
      <c r="G1585" s="677"/>
      <c r="H1585" s="872"/>
      <c r="I1585" s="871"/>
      <c r="J1585" s="871"/>
      <c r="K1585" s="870"/>
      <c r="L1585" s="870"/>
      <c r="M1585" s="870"/>
      <c r="N1585" s="870"/>
      <c r="O1585" s="870"/>
      <c r="P1585" s="870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73"/>
      <c r="E1586" s="677"/>
      <c r="F1586" s="677"/>
      <c r="G1586" s="677"/>
      <c r="H1586" s="872"/>
      <c r="I1586" s="871"/>
      <c r="J1586" s="871"/>
      <c r="K1586" s="870"/>
      <c r="L1586" s="870"/>
      <c r="M1586" s="870"/>
      <c r="N1586" s="870"/>
      <c r="O1586" s="870"/>
      <c r="P1586" s="870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73"/>
      <c r="E1587" s="677"/>
      <c r="F1587" s="677"/>
      <c r="G1587" s="677"/>
      <c r="H1587" s="872"/>
      <c r="I1587" s="871"/>
      <c r="J1587" s="871"/>
      <c r="K1587" s="870"/>
      <c r="L1587" s="870"/>
      <c r="M1587" s="870"/>
      <c r="N1587" s="870"/>
      <c r="O1587" s="870"/>
      <c r="P1587" s="870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73"/>
      <c r="E1588" s="677"/>
      <c r="F1588" s="677"/>
      <c r="G1588" s="677"/>
      <c r="H1588" s="872"/>
      <c r="I1588" s="871"/>
      <c r="J1588" s="871"/>
      <c r="K1588" s="870"/>
      <c r="L1588" s="870"/>
      <c r="M1588" s="870"/>
      <c r="N1588" s="870"/>
      <c r="O1588" s="870"/>
      <c r="P1588" s="870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73"/>
      <c r="E1589" s="677"/>
      <c r="F1589" s="677"/>
      <c r="G1589" s="677"/>
      <c r="H1589" s="872"/>
      <c r="I1589" s="871"/>
      <c r="J1589" s="871"/>
      <c r="K1589" s="870"/>
      <c r="L1589" s="870"/>
      <c r="M1589" s="870"/>
      <c r="N1589" s="870"/>
      <c r="O1589" s="870"/>
      <c r="P1589" s="870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73"/>
      <c r="E1590" s="677"/>
      <c r="F1590" s="677"/>
      <c r="G1590" s="677"/>
      <c r="H1590" s="872"/>
      <c r="I1590" s="871"/>
      <c r="J1590" s="871"/>
      <c r="K1590" s="870"/>
      <c r="L1590" s="870"/>
      <c r="M1590" s="870"/>
      <c r="N1590" s="870"/>
      <c r="O1590" s="870"/>
      <c r="P1590" s="870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73"/>
      <c r="E1591" s="677"/>
      <c r="F1591" s="677"/>
      <c r="G1591" s="677"/>
      <c r="H1591" s="872"/>
      <c r="I1591" s="871"/>
      <c r="J1591" s="871"/>
      <c r="K1591" s="870"/>
      <c r="L1591" s="870"/>
      <c r="M1591" s="870"/>
      <c r="N1591" s="870"/>
      <c r="O1591" s="870"/>
      <c r="P1591" s="870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73"/>
      <c r="E1592" s="677"/>
      <c r="F1592" s="677"/>
      <c r="G1592" s="677"/>
      <c r="H1592" s="872"/>
      <c r="I1592" s="871"/>
      <c r="J1592" s="871"/>
      <c r="K1592" s="870"/>
      <c r="L1592" s="870"/>
      <c r="M1592" s="870"/>
      <c r="N1592" s="870"/>
      <c r="O1592" s="870"/>
      <c r="P1592" s="870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73"/>
      <c r="E1593" s="677"/>
      <c r="F1593" s="677"/>
      <c r="G1593" s="677"/>
      <c r="H1593" s="872"/>
      <c r="I1593" s="871"/>
      <c r="J1593" s="871"/>
      <c r="K1593" s="870"/>
      <c r="L1593" s="870"/>
      <c r="M1593" s="870"/>
      <c r="N1593" s="870"/>
      <c r="O1593" s="870"/>
      <c r="P1593" s="870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73"/>
      <c r="E1594" s="677"/>
      <c r="F1594" s="677"/>
      <c r="G1594" s="677"/>
      <c r="H1594" s="872"/>
      <c r="I1594" s="871"/>
      <c r="J1594" s="871"/>
      <c r="K1594" s="870"/>
      <c r="L1594" s="870"/>
      <c r="M1594" s="870"/>
      <c r="N1594" s="870"/>
      <c r="O1594" s="870"/>
      <c r="P1594" s="870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73"/>
      <c r="E1595" s="677"/>
      <c r="F1595" s="677"/>
      <c r="G1595" s="677"/>
      <c r="H1595" s="872"/>
      <c r="I1595" s="871"/>
      <c r="J1595" s="871"/>
      <c r="K1595" s="870"/>
      <c r="L1595" s="870"/>
      <c r="M1595" s="870"/>
      <c r="N1595" s="870"/>
      <c r="O1595" s="870"/>
      <c r="P1595" s="870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73"/>
      <c r="E1596" s="677"/>
      <c r="F1596" s="677"/>
      <c r="G1596" s="677"/>
      <c r="H1596" s="872"/>
      <c r="I1596" s="871"/>
      <c r="J1596" s="871"/>
      <c r="K1596" s="870"/>
      <c r="L1596" s="870"/>
      <c r="M1596" s="870"/>
      <c r="N1596" s="870"/>
      <c r="O1596" s="870"/>
      <c r="P1596" s="870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73"/>
      <c r="E1597" s="677"/>
      <c r="F1597" s="677"/>
      <c r="G1597" s="677"/>
      <c r="H1597" s="872"/>
      <c r="I1597" s="871"/>
      <c r="J1597" s="871"/>
      <c r="K1597" s="870"/>
      <c r="L1597" s="870"/>
      <c r="M1597" s="870"/>
      <c r="N1597" s="870"/>
      <c r="O1597" s="870"/>
      <c r="P1597" s="870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73"/>
      <c r="E1598" s="677"/>
      <c r="F1598" s="677"/>
      <c r="G1598" s="677"/>
      <c r="H1598" s="872"/>
      <c r="I1598" s="871"/>
      <c r="J1598" s="871"/>
      <c r="K1598" s="870"/>
      <c r="L1598" s="870"/>
      <c r="M1598" s="870"/>
      <c r="N1598" s="870"/>
      <c r="O1598" s="870"/>
      <c r="P1598" s="870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73"/>
      <c r="E1599" s="677"/>
      <c r="F1599" s="677"/>
      <c r="G1599" s="677"/>
      <c r="H1599" s="872"/>
      <c r="I1599" s="871"/>
      <c r="J1599" s="871"/>
      <c r="K1599" s="870"/>
      <c r="L1599" s="870"/>
      <c r="M1599" s="870"/>
      <c r="N1599" s="870"/>
      <c r="O1599" s="870"/>
      <c r="P1599" s="870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73"/>
      <c r="E1600" s="677"/>
      <c r="F1600" s="677"/>
      <c r="G1600" s="677"/>
      <c r="H1600" s="872"/>
      <c r="I1600" s="871"/>
      <c r="J1600" s="871"/>
      <c r="K1600" s="870"/>
      <c r="L1600" s="870"/>
      <c r="M1600" s="870"/>
      <c r="N1600" s="870"/>
      <c r="O1600" s="870"/>
      <c r="P1600" s="870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73"/>
      <c r="E1601" s="677"/>
      <c r="F1601" s="677"/>
      <c r="G1601" s="677"/>
      <c r="H1601" s="872"/>
      <c r="I1601" s="871"/>
      <c r="J1601" s="871"/>
      <c r="K1601" s="870"/>
      <c r="L1601" s="870"/>
      <c r="M1601" s="870"/>
      <c r="N1601" s="870"/>
      <c r="O1601" s="870"/>
      <c r="P1601" s="870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73"/>
      <c r="E1602" s="677"/>
      <c r="F1602" s="677"/>
      <c r="G1602" s="677"/>
      <c r="H1602" s="872"/>
      <c r="I1602" s="871"/>
      <c r="J1602" s="871"/>
      <c r="K1602" s="870"/>
      <c r="L1602" s="870"/>
      <c r="M1602" s="870"/>
      <c r="N1602" s="870"/>
      <c r="O1602" s="870"/>
      <c r="P1602" s="870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73"/>
      <c r="E1603" s="677"/>
      <c r="F1603" s="677"/>
      <c r="G1603" s="677"/>
      <c r="H1603" s="872"/>
      <c r="I1603" s="871"/>
      <c r="J1603" s="871"/>
      <c r="K1603" s="870"/>
      <c r="L1603" s="870"/>
      <c r="M1603" s="870"/>
      <c r="N1603" s="870"/>
      <c r="O1603" s="870"/>
      <c r="P1603" s="870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73"/>
      <c r="E1604" s="677"/>
      <c r="F1604" s="677"/>
      <c r="G1604" s="677"/>
      <c r="H1604" s="872"/>
      <c r="I1604" s="871"/>
      <c r="J1604" s="871"/>
      <c r="K1604" s="870"/>
      <c r="L1604" s="870"/>
      <c r="M1604" s="870"/>
      <c r="N1604" s="870"/>
      <c r="O1604" s="870"/>
      <c r="P1604" s="870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73"/>
      <c r="E1605" s="677"/>
      <c r="F1605" s="677"/>
      <c r="G1605" s="677"/>
      <c r="H1605" s="872"/>
      <c r="I1605" s="871"/>
      <c r="J1605" s="871"/>
      <c r="K1605" s="870"/>
      <c r="L1605" s="870"/>
      <c r="M1605" s="870"/>
      <c r="N1605" s="870"/>
      <c r="O1605" s="870"/>
      <c r="P1605" s="870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73"/>
      <c r="E1606" s="677"/>
      <c r="F1606" s="677"/>
      <c r="G1606" s="677"/>
      <c r="H1606" s="872"/>
      <c r="I1606" s="871"/>
      <c r="J1606" s="871"/>
      <c r="K1606" s="870"/>
      <c r="L1606" s="870"/>
      <c r="M1606" s="870"/>
      <c r="N1606" s="870"/>
      <c r="O1606" s="870"/>
      <c r="P1606" s="870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73"/>
      <c r="E1607" s="677"/>
      <c r="F1607" s="677"/>
      <c r="G1607" s="677"/>
      <c r="H1607" s="872"/>
      <c r="I1607" s="871"/>
      <c r="J1607" s="871"/>
      <c r="K1607" s="870"/>
      <c r="L1607" s="870"/>
      <c r="M1607" s="870"/>
      <c r="N1607" s="870"/>
      <c r="O1607" s="870"/>
      <c r="P1607" s="870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73"/>
      <c r="E1608" s="677"/>
      <c r="F1608" s="677"/>
      <c r="G1608" s="677"/>
      <c r="H1608" s="872"/>
      <c r="I1608" s="871"/>
      <c r="J1608" s="871"/>
      <c r="K1608" s="870"/>
      <c r="L1608" s="870"/>
      <c r="M1608" s="870"/>
      <c r="N1608" s="870"/>
      <c r="O1608" s="870"/>
      <c r="P1608" s="870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73"/>
      <c r="E1609" s="677"/>
      <c r="F1609" s="677"/>
      <c r="G1609" s="677"/>
      <c r="H1609" s="872"/>
      <c r="I1609" s="871"/>
      <c r="J1609" s="871"/>
      <c r="K1609" s="870"/>
      <c r="L1609" s="870"/>
      <c r="M1609" s="870"/>
      <c r="N1609" s="870"/>
      <c r="O1609" s="870"/>
      <c r="P1609" s="870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73"/>
      <c r="E1610" s="677"/>
      <c r="F1610" s="677"/>
      <c r="G1610" s="677"/>
      <c r="H1610" s="872"/>
      <c r="I1610" s="871"/>
      <c r="J1610" s="871"/>
      <c r="K1610" s="870"/>
      <c r="L1610" s="870"/>
      <c r="M1610" s="870"/>
      <c r="N1610" s="870"/>
      <c r="O1610" s="870"/>
      <c r="P1610" s="870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73"/>
      <c r="E1611" s="677"/>
      <c r="F1611" s="677"/>
      <c r="G1611" s="677"/>
      <c r="H1611" s="872"/>
      <c r="I1611" s="871"/>
      <c r="J1611" s="871"/>
      <c r="K1611" s="870"/>
      <c r="L1611" s="870"/>
      <c r="M1611" s="870"/>
      <c r="N1611" s="870"/>
      <c r="O1611" s="870"/>
      <c r="P1611" s="870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73"/>
      <c r="E1612" s="677"/>
      <c r="F1612" s="677"/>
      <c r="G1612" s="677"/>
      <c r="H1612" s="872"/>
      <c r="I1612" s="871"/>
      <c r="J1612" s="871"/>
      <c r="K1612" s="870"/>
      <c r="L1612" s="870"/>
      <c r="M1612" s="870"/>
      <c r="N1612" s="870"/>
      <c r="O1612" s="870"/>
      <c r="P1612" s="870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73"/>
      <c r="E1613" s="677"/>
      <c r="F1613" s="677"/>
      <c r="G1613" s="677"/>
      <c r="H1613" s="872"/>
      <c r="I1613" s="871"/>
      <c r="J1613" s="871"/>
      <c r="K1613" s="870"/>
      <c r="L1613" s="870"/>
      <c r="M1613" s="870"/>
      <c r="N1613" s="870"/>
      <c r="O1613" s="870"/>
      <c r="P1613" s="870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73"/>
      <c r="E1614" s="677"/>
      <c r="F1614" s="677"/>
      <c r="G1614" s="677"/>
      <c r="H1614" s="872"/>
      <c r="I1614" s="871"/>
      <c r="J1614" s="871"/>
      <c r="K1614" s="870"/>
      <c r="L1614" s="870"/>
      <c r="M1614" s="870"/>
      <c r="N1614" s="870"/>
      <c r="O1614" s="870"/>
      <c r="P1614" s="870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73"/>
      <c r="E1615" s="677"/>
      <c r="F1615" s="677"/>
      <c r="G1615" s="677"/>
      <c r="H1615" s="872"/>
      <c r="I1615" s="871"/>
      <c r="J1615" s="871"/>
      <c r="K1615" s="870"/>
      <c r="L1615" s="870"/>
      <c r="M1615" s="870"/>
      <c r="N1615" s="870"/>
      <c r="O1615" s="870"/>
      <c r="P1615" s="870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73"/>
      <c r="E1616" s="677"/>
      <c r="F1616" s="677"/>
      <c r="G1616" s="677"/>
      <c r="H1616" s="872"/>
      <c r="I1616" s="871"/>
      <c r="J1616" s="871"/>
      <c r="K1616" s="870"/>
      <c r="L1616" s="870"/>
      <c r="M1616" s="870"/>
      <c r="N1616" s="870"/>
      <c r="O1616" s="870"/>
      <c r="P1616" s="870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73"/>
      <c r="E1617" s="677"/>
      <c r="F1617" s="677"/>
      <c r="G1617" s="677"/>
      <c r="H1617" s="872"/>
      <c r="I1617" s="871"/>
      <c r="J1617" s="871"/>
      <c r="K1617" s="870"/>
      <c r="L1617" s="870"/>
      <c r="M1617" s="870"/>
      <c r="N1617" s="870"/>
      <c r="O1617" s="870"/>
      <c r="P1617" s="870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73"/>
      <c r="E1618" s="677"/>
      <c r="F1618" s="677"/>
      <c r="G1618" s="677"/>
      <c r="H1618" s="872"/>
      <c r="I1618" s="871"/>
      <c r="J1618" s="871"/>
      <c r="K1618" s="870"/>
      <c r="L1618" s="870"/>
      <c r="M1618" s="870"/>
      <c r="N1618" s="870"/>
      <c r="O1618" s="870"/>
      <c r="P1618" s="870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73"/>
      <c r="E1619" s="677"/>
      <c r="F1619" s="677"/>
      <c r="G1619" s="677"/>
      <c r="H1619" s="872"/>
      <c r="I1619" s="871"/>
      <c r="J1619" s="871"/>
      <c r="K1619" s="870"/>
      <c r="L1619" s="870"/>
      <c r="M1619" s="870"/>
      <c r="N1619" s="870"/>
      <c r="O1619" s="870"/>
      <c r="P1619" s="870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73"/>
      <c r="E1620" s="677"/>
      <c r="F1620" s="677"/>
      <c r="G1620" s="677"/>
      <c r="H1620" s="872"/>
      <c r="I1620" s="871"/>
      <c r="J1620" s="871"/>
      <c r="K1620" s="870"/>
      <c r="L1620" s="870"/>
      <c r="M1620" s="870"/>
      <c r="N1620" s="870"/>
      <c r="O1620" s="870"/>
      <c r="P1620" s="870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73"/>
      <c r="E1621" s="677"/>
      <c r="F1621" s="677"/>
      <c r="G1621" s="677"/>
      <c r="H1621" s="872"/>
      <c r="I1621" s="871"/>
      <c r="J1621" s="871"/>
      <c r="K1621" s="870"/>
      <c r="L1621" s="870"/>
      <c r="M1621" s="870"/>
      <c r="N1621" s="870"/>
      <c r="O1621" s="870"/>
      <c r="P1621" s="870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73"/>
      <c r="E1622" s="677"/>
      <c r="F1622" s="677"/>
      <c r="G1622" s="677"/>
      <c r="H1622" s="872"/>
      <c r="I1622" s="871"/>
      <c r="J1622" s="871"/>
      <c r="K1622" s="870"/>
      <c r="L1622" s="870"/>
      <c r="M1622" s="870"/>
      <c r="N1622" s="870"/>
      <c r="O1622" s="870"/>
      <c r="P1622" s="870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73"/>
      <c r="E1623" s="677"/>
      <c r="F1623" s="677"/>
      <c r="G1623" s="677"/>
      <c r="H1623" s="872"/>
      <c r="I1623" s="871"/>
      <c r="J1623" s="871"/>
      <c r="K1623" s="870"/>
      <c r="L1623" s="870"/>
      <c r="M1623" s="870"/>
      <c r="N1623" s="870"/>
      <c r="O1623" s="870"/>
      <c r="P1623" s="870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73"/>
      <c r="E1624" s="677"/>
      <c r="F1624" s="677"/>
      <c r="G1624" s="677"/>
      <c r="H1624" s="872"/>
      <c r="I1624" s="871"/>
      <c r="J1624" s="871"/>
      <c r="K1624" s="870"/>
      <c r="L1624" s="870"/>
      <c r="M1624" s="870"/>
      <c r="N1624" s="870"/>
      <c r="O1624" s="870"/>
      <c r="P1624" s="870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73"/>
      <c r="E1625" s="677"/>
      <c r="F1625" s="677"/>
      <c r="G1625" s="677"/>
      <c r="H1625" s="872"/>
      <c r="I1625" s="871"/>
      <c r="J1625" s="871"/>
      <c r="K1625" s="870"/>
      <c r="L1625" s="870"/>
      <c r="M1625" s="870"/>
      <c r="N1625" s="870"/>
      <c r="O1625" s="870"/>
      <c r="P1625" s="870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73"/>
      <c r="E1626" s="677"/>
      <c r="F1626" s="677"/>
      <c r="G1626" s="677"/>
      <c r="H1626" s="872"/>
      <c r="I1626" s="871"/>
      <c r="J1626" s="871"/>
      <c r="K1626" s="870"/>
      <c r="L1626" s="870"/>
      <c r="M1626" s="870"/>
      <c r="N1626" s="870"/>
      <c r="O1626" s="870"/>
      <c r="P1626" s="870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73"/>
      <c r="E1627" s="677"/>
      <c r="F1627" s="677"/>
      <c r="G1627" s="677"/>
      <c r="H1627" s="872"/>
      <c r="I1627" s="871"/>
      <c r="J1627" s="871"/>
      <c r="K1627" s="870"/>
      <c r="L1627" s="870"/>
      <c r="M1627" s="870"/>
      <c r="N1627" s="870"/>
      <c r="O1627" s="870"/>
      <c r="P1627" s="870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73"/>
      <c r="E1628" s="677"/>
      <c r="F1628" s="677"/>
      <c r="G1628" s="677"/>
      <c r="H1628" s="872"/>
      <c r="I1628" s="871"/>
      <c r="J1628" s="871"/>
      <c r="K1628" s="870"/>
      <c r="L1628" s="870"/>
      <c r="M1628" s="870"/>
      <c r="N1628" s="870"/>
      <c r="O1628" s="870"/>
      <c r="P1628" s="870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73"/>
      <c r="E1629" s="677"/>
      <c r="F1629" s="677"/>
      <c r="G1629" s="677"/>
      <c r="H1629" s="872"/>
      <c r="I1629" s="871"/>
      <c r="J1629" s="871"/>
      <c r="K1629" s="870"/>
      <c r="L1629" s="870"/>
      <c r="M1629" s="870"/>
      <c r="N1629" s="870"/>
      <c r="O1629" s="870"/>
      <c r="P1629" s="870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73"/>
      <c r="E1630" s="677"/>
      <c r="F1630" s="677"/>
      <c r="G1630" s="677"/>
      <c r="H1630" s="872"/>
      <c r="I1630" s="871"/>
      <c r="J1630" s="871"/>
      <c r="K1630" s="870"/>
      <c r="L1630" s="870"/>
      <c r="M1630" s="870"/>
      <c r="N1630" s="870"/>
      <c r="O1630" s="870"/>
      <c r="P1630" s="870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73"/>
      <c r="E1631" s="677"/>
      <c r="F1631" s="677"/>
      <c r="G1631" s="677"/>
      <c r="H1631" s="872"/>
      <c r="I1631" s="871"/>
      <c r="J1631" s="871"/>
      <c r="K1631" s="870"/>
      <c r="L1631" s="870"/>
      <c r="M1631" s="870"/>
      <c r="N1631" s="870"/>
      <c r="O1631" s="870"/>
      <c r="P1631" s="870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73"/>
      <c r="E1632" s="677"/>
      <c r="F1632" s="677"/>
      <c r="G1632" s="677"/>
      <c r="H1632" s="872"/>
      <c r="I1632" s="871"/>
      <c r="J1632" s="871"/>
      <c r="K1632" s="870"/>
      <c r="L1632" s="870"/>
      <c r="M1632" s="870"/>
      <c r="N1632" s="870"/>
      <c r="O1632" s="870"/>
      <c r="P1632" s="870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73"/>
      <c r="E1633" s="677"/>
      <c r="F1633" s="677"/>
      <c r="G1633" s="677"/>
      <c r="H1633" s="872"/>
      <c r="I1633" s="871"/>
      <c r="J1633" s="871"/>
      <c r="K1633" s="870"/>
      <c r="L1633" s="870"/>
      <c r="M1633" s="870"/>
      <c r="N1633" s="870"/>
      <c r="O1633" s="870"/>
      <c r="P1633" s="870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73"/>
      <c r="E1634" s="677"/>
      <c r="F1634" s="677"/>
      <c r="G1634" s="677"/>
      <c r="H1634" s="872"/>
      <c r="I1634" s="871"/>
      <c r="J1634" s="871"/>
      <c r="K1634" s="870"/>
      <c r="L1634" s="870"/>
      <c r="M1634" s="870"/>
      <c r="N1634" s="870"/>
      <c r="O1634" s="870"/>
      <c r="P1634" s="870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73"/>
      <c r="E1635" s="677"/>
      <c r="F1635" s="677"/>
      <c r="G1635" s="677"/>
      <c r="H1635" s="872"/>
      <c r="I1635" s="871"/>
      <c r="J1635" s="871"/>
      <c r="K1635" s="870"/>
      <c r="L1635" s="870"/>
      <c r="M1635" s="870"/>
      <c r="N1635" s="870"/>
      <c r="O1635" s="870"/>
      <c r="P1635" s="870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73"/>
      <c r="E1636" s="677"/>
      <c r="F1636" s="677"/>
      <c r="G1636" s="677"/>
      <c r="H1636" s="872"/>
      <c r="I1636" s="871"/>
      <c r="J1636" s="871"/>
      <c r="K1636" s="870"/>
      <c r="L1636" s="870"/>
      <c r="M1636" s="870"/>
      <c r="N1636" s="870"/>
      <c r="O1636" s="870"/>
      <c r="P1636" s="870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73"/>
      <c r="E1637" s="677"/>
      <c r="F1637" s="677"/>
      <c r="G1637" s="677"/>
      <c r="H1637" s="872"/>
      <c r="I1637" s="871"/>
      <c r="J1637" s="871"/>
      <c r="K1637" s="870"/>
      <c r="L1637" s="870"/>
      <c r="M1637" s="870"/>
      <c r="N1637" s="870"/>
      <c r="O1637" s="870"/>
      <c r="P1637" s="870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73"/>
      <c r="E1638" s="677"/>
      <c r="F1638" s="677"/>
      <c r="G1638" s="677"/>
      <c r="H1638" s="872"/>
      <c r="I1638" s="871"/>
      <c r="J1638" s="871"/>
      <c r="K1638" s="870"/>
      <c r="L1638" s="870"/>
      <c r="M1638" s="870"/>
      <c r="N1638" s="870"/>
      <c r="O1638" s="870"/>
      <c r="P1638" s="870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73"/>
      <c r="E1639" s="677"/>
      <c r="F1639" s="677"/>
      <c r="G1639" s="677"/>
      <c r="H1639" s="872"/>
      <c r="I1639" s="871"/>
      <c r="J1639" s="871"/>
      <c r="K1639" s="870"/>
      <c r="L1639" s="870"/>
      <c r="M1639" s="870"/>
      <c r="N1639" s="870"/>
      <c r="O1639" s="870"/>
      <c r="P1639" s="870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73"/>
      <c r="E1640" s="677"/>
      <c r="F1640" s="677"/>
      <c r="G1640" s="677"/>
      <c r="H1640" s="872"/>
      <c r="I1640" s="871"/>
      <c r="J1640" s="871"/>
      <c r="K1640" s="870"/>
      <c r="L1640" s="870"/>
      <c r="M1640" s="870"/>
      <c r="N1640" s="870"/>
      <c r="O1640" s="870"/>
      <c r="P1640" s="870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73"/>
      <c r="E1641" s="677"/>
      <c r="F1641" s="677"/>
      <c r="G1641" s="677"/>
      <c r="H1641" s="872"/>
      <c r="I1641" s="871"/>
      <c r="J1641" s="871"/>
      <c r="K1641" s="870"/>
      <c r="L1641" s="870"/>
      <c r="M1641" s="870"/>
      <c r="N1641" s="870"/>
      <c r="O1641" s="870"/>
      <c r="P1641" s="870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73"/>
      <c r="E1642" s="677"/>
      <c r="F1642" s="677"/>
      <c r="G1642" s="677"/>
      <c r="H1642" s="872"/>
      <c r="I1642" s="871"/>
      <c r="J1642" s="871"/>
      <c r="K1642" s="870"/>
      <c r="L1642" s="870"/>
      <c r="M1642" s="870"/>
      <c r="N1642" s="870"/>
      <c r="O1642" s="870"/>
      <c r="P1642" s="870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73"/>
      <c r="E1643" s="677"/>
      <c r="F1643" s="677"/>
      <c r="G1643" s="677"/>
      <c r="H1643" s="872"/>
      <c r="I1643" s="871"/>
      <c r="J1643" s="871"/>
      <c r="K1643" s="870"/>
      <c r="L1643" s="870"/>
      <c r="M1643" s="870"/>
      <c r="N1643" s="870"/>
      <c r="O1643" s="870"/>
      <c r="P1643" s="870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73"/>
      <c r="E1644" s="677"/>
      <c r="F1644" s="677"/>
      <c r="G1644" s="677"/>
      <c r="H1644" s="872"/>
      <c r="I1644" s="871"/>
      <c r="J1644" s="871"/>
      <c r="K1644" s="870"/>
      <c r="L1644" s="870"/>
      <c r="M1644" s="870"/>
      <c r="N1644" s="870"/>
      <c r="O1644" s="870"/>
      <c r="P1644" s="870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73"/>
      <c r="E1645" s="677"/>
      <c r="F1645" s="677"/>
      <c r="G1645" s="677"/>
      <c r="H1645" s="872"/>
      <c r="I1645" s="871"/>
      <c r="J1645" s="871"/>
      <c r="K1645" s="870"/>
      <c r="L1645" s="870"/>
      <c r="M1645" s="870"/>
      <c r="N1645" s="870"/>
      <c r="O1645" s="870"/>
      <c r="P1645" s="870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73"/>
      <c r="E1646" s="677"/>
      <c r="F1646" s="677"/>
      <c r="G1646" s="677"/>
      <c r="H1646" s="872"/>
      <c r="I1646" s="871"/>
      <c r="J1646" s="871"/>
      <c r="K1646" s="870"/>
      <c r="L1646" s="870"/>
      <c r="M1646" s="870"/>
      <c r="N1646" s="870"/>
      <c r="O1646" s="870"/>
      <c r="P1646" s="870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73"/>
      <c r="E1647" s="677"/>
      <c r="F1647" s="677"/>
      <c r="G1647" s="677"/>
      <c r="H1647" s="872"/>
      <c r="I1647" s="871"/>
      <c r="J1647" s="871"/>
      <c r="K1647" s="870"/>
      <c r="L1647" s="870"/>
      <c r="M1647" s="870"/>
      <c r="N1647" s="870"/>
      <c r="O1647" s="870"/>
      <c r="P1647" s="870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73"/>
      <c r="E1648" s="677"/>
      <c r="F1648" s="677"/>
      <c r="G1648" s="677"/>
      <c r="H1648" s="872"/>
      <c r="I1648" s="871"/>
      <c r="J1648" s="871"/>
      <c r="K1648" s="870"/>
      <c r="L1648" s="870"/>
      <c r="M1648" s="870"/>
      <c r="N1648" s="870"/>
      <c r="O1648" s="870"/>
      <c r="P1648" s="870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73"/>
      <c r="E1649" s="677"/>
      <c r="F1649" s="677"/>
      <c r="G1649" s="677"/>
      <c r="H1649" s="872"/>
      <c r="I1649" s="871"/>
      <c r="J1649" s="871"/>
      <c r="K1649" s="870"/>
      <c r="L1649" s="870"/>
      <c r="M1649" s="870"/>
      <c r="N1649" s="870"/>
      <c r="O1649" s="870"/>
      <c r="P1649" s="870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73"/>
      <c r="E1650" s="677"/>
      <c r="F1650" s="677"/>
      <c r="G1650" s="677"/>
      <c r="H1650" s="872"/>
      <c r="I1650" s="871"/>
      <c r="J1650" s="871"/>
      <c r="K1650" s="870"/>
      <c r="L1650" s="870"/>
      <c r="M1650" s="870"/>
      <c r="N1650" s="870"/>
      <c r="O1650" s="870"/>
      <c r="P1650" s="870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73"/>
      <c r="E1651" s="677"/>
      <c r="F1651" s="677"/>
      <c r="G1651" s="677"/>
      <c r="H1651" s="872"/>
      <c r="I1651" s="871"/>
      <c r="J1651" s="871"/>
      <c r="K1651" s="870"/>
      <c r="L1651" s="870"/>
      <c r="M1651" s="870"/>
      <c r="N1651" s="870"/>
      <c r="O1651" s="870"/>
      <c r="P1651" s="870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73"/>
      <c r="E1652" s="677"/>
      <c r="F1652" s="677"/>
      <c r="G1652" s="677"/>
      <c r="H1652" s="872"/>
      <c r="I1652" s="871"/>
      <c r="J1652" s="871"/>
      <c r="K1652" s="870"/>
      <c r="L1652" s="870"/>
      <c r="M1652" s="870"/>
      <c r="N1652" s="870"/>
      <c r="O1652" s="870"/>
      <c r="P1652" s="870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73"/>
      <c r="E1653" s="677"/>
      <c r="F1653" s="677"/>
      <c r="G1653" s="677"/>
      <c r="H1653" s="872"/>
      <c r="I1653" s="871"/>
      <c r="J1653" s="871"/>
      <c r="K1653" s="870"/>
      <c r="L1653" s="870"/>
      <c r="M1653" s="870"/>
      <c r="N1653" s="870"/>
      <c r="O1653" s="870"/>
      <c r="P1653" s="870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73"/>
      <c r="E1654" s="677"/>
      <c r="F1654" s="677"/>
      <c r="G1654" s="677"/>
      <c r="H1654" s="872"/>
      <c r="I1654" s="871"/>
      <c r="J1654" s="871"/>
      <c r="K1654" s="870"/>
      <c r="L1654" s="870"/>
      <c r="M1654" s="870"/>
      <c r="N1654" s="870"/>
      <c r="O1654" s="870"/>
      <c r="P1654" s="870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73"/>
      <c r="E1655" s="677"/>
      <c r="F1655" s="677"/>
      <c r="G1655" s="677"/>
      <c r="H1655" s="872"/>
      <c r="I1655" s="871"/>
      <c r="J1655" s="871"/>
      <c r="K1655" s="870"/>
      <c r="L1655" s="870"/>
      <c r="M1655" s="870"/>
      <c r="N1655" s="870"/>
      <c r="O1655" s="870"/>
      <c r="P1655" s="870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73"/>
      <c r="E1656" s="677"/>
      <c r="F1656" s="677"/>
      <c r="G1656" s="677"/>
      <c r="H1656" s="872"/>
      <c r="I1656" s="871"/>
      <c r="J1656" s="871"/>
      <c r="K1656" s="870"/>
      <c r="L1656" s="870"/>
      <c r="M1656" s="870"/>
      <c r="N1656" s="870"/>
      <c r="O1656" s="870"/>
      <c r="P1656" s="870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73"/>
      <c r="E1657" s="677"/>
      <c r="F1657" s="677"/>
      <c r="G1657" s="677"/>
      <c r="H1657" s="872"/>
      <c r="I1657" s="871"/>
      <c r="J1657" s="871"/>
      <c r="K1657" s="870"/>
      <c r="L1657" s="870"/>
      <c r="M1657" s="870"/>
      <c r="N1657" s="870"/>
      <c r="O1657" s="870"/>
      <c r="P1657" s="870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73"/>
      <c r="E1658" s="677"/>
      <c r="F1658" s="677"/>
      <c r="G1658" s="677"/>
      <c r="H1658" s="872"/>
      <c r="I1658" s="871"/>
      <c r="J1658" s="871"/>
      <c r="K1658" s="870"/>
      <c r="L1658" s="870"/>
      <c r="M1658" s="870"/>
      <c r="N1658" s="870"/>
      <c r="O1658" s="870"/>
      <c r="P1658" s="870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73"/>
      <c r="E1659" s="677"/>
      <c r="F1659" s="677"/>
      <c r="G1659" s="677"/>
      <c r="H1659" s="872"/>
      <c r="I1659" s="871"/>
      <c r="J1659" s="871"/>
      <c r="K1659" s="870"/>
      <c r="L1659" s="870"/>
      <c r="M1659" s="870"/>
      <c r="N1659" s="870"/>
      <c r="O1659" s="870"/>
      <c r="P1659" s="870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73"/>
      <c r="E1660" s="677"/>
      <c r="F1660" s="677"/>
      <c r="G1660" s="677"/>
      <c r="H1660" s="872"/>
      <c r="I1660" s="871"/>
      <c r="J1660" s="871"/>
      <c r="K1660" s="870"/>
      <c r="L1660" s="870"/>
      <c r="M1660" s="870"/>
      <c r="N1660" s="870"/>
      <c r="O1660" s="870"/>
      <c r="P1660" s="870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73"/>
      <c r="E1661" s="677"/>
      <c r="F1661" s="677"/>
      <c r="G1661" s="677"/>
      <c r="H1661" s="872"/>
      <c r="I1661" s="871"/>
      <c r="J1661" s="871"/>
      <c r="K1661" s="870"/>
      <c r="L1661" s="870"/>
      <c r="M1661" s="870"/>
      <c r="N1661" s="870"/>
      <c r="O1661" s="870"/>
      <c r="P1661" s="870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73"/>
      <c r="E1662" s="677"/>
      <c r="F1662" s="677"/>
      <c r="G1662" s="677"/>
      <c r="H1662" s="872"/>
      <c r="I1662" s="871"/>
      <c r="J1662" s="871"/>
      <c r="K1662" s="870"/>
      <c r="L1662" s="870"/>
      <c r="M1662" s="870"/>
      <c r="N1662" s="870"/>
      <c r="O1662" s="870"/>
      <c r="P1662" s="870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73"/>
      <c r="E1663" s="677"/>
      <c r="F1663" s="677"/>
      <c r="G1663" s="677"/>
      <c r="H1663" s="872"/>
      <c r="I1663" s="871"/>
      <c r="J1663" s="871"/>
      <c r="K1663" s="870"/>
      <c r="L1663" s="870"/>
      <c r="M1663" s="870"/>
      <c r="N1663" s="870"/>
      <c r="O1663" s="870"/>
      <c r="P1663" s="870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73"/>
      <c r="E1664" s="677"/>
      <c r="F1664" s="677"/>
      <c r="G1664" s="677"/>
      <c r="H1664" s="872"/>
      <c r="I1664" s="871"/>
      <c r="J1664" s="871"/>
      <c r="K1664" s="870"/>
      <c r="L1664" s="870"/>
      <c r="M1664" s="870"/>
      <c r="N1664" s="870"/>
      <c r="O1664" s="870"/>
      <c r="P1664" s="870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73"/>
      <c r="E1665" s="677"/>
      <c r="F1665" s="677"/>
      <c r="G1665" s="677"/>
      <c r="H1665" s="872"/>
      <c r="I1665" s="871"/>
      <c r="J1665" s="871"/>
      <c r="K1665" s="870"/>
      <c r="L1665" s="870"/>
      <c r="M1665" s="870"/>
      <c r="N1665" s="870"/>
      <c r="O1665" s="870"/>
      <c r="P1665" s="870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73"/>
      <c r="E1666" s="677"/>
      <c r="F1666" s="677"/>
      <c r="G1666" s="677"/>
      <c r="H1666" s="872"/>
      <c r="I1666" s="871"/>
      <c r="J1666" s="871"/>
      <c r="K1666" s="870"/>
      <c r="L1666" s="870"/>
      <c r="M1666" s="870"/>
      <c r="N1666" s="870"/>
      <c r="O1666" s="870"/>
      <c r="P1666" s="870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73"/>
      <c r="E1667" s="677"/>
      <c r="F1667" s="677"/>
      <c r="G1667" s="677"/>
      <c r="H1667" s="872"/>
      <c r="I1667" s="871"/>
      <c r="J1667" s="871"/>
      <c r="K1667" s="870"/>
      <c r="L1667" s="870"/>
      <c r="M1667" s="870"/>
      <c r="N1667" s="870"/>
      <c r="O1667" s="870"/>
      <c r="P1667" s="870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73"/>
      <c r="E1668" s="677"/>
      <c r="F1668" s="677"/>
      <c r="G1668" s="677"/>
      <c r="H1668" s="872"/>
      <c r="I1668" s="871"/>
      <c r="J1668" s="871"/>
      <c r="K1668" s="870"/>
      <c r="L1668" s="870"/>
      <c r="M1668" s="870"/>
      <c r="N1668" s="870"/>
      <c r="O1668" s="870"/>
      <c r="P1668" s="870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73"/>
      <c r="E1669" s="677"/>
      <c r="F1669" s="677"/>
      <c r="G1669" s="677"/>
      <c r="H1669" s="872"/>
      <c r="I1669" s="871"/>
      <c r="J1669" s="871"/>
      <c r="K1669" s="870"/>
      <c r="L1669" s="870"/>
      <c r="M1669" s="870"/>
      <c r="N1669" s="870"/>
      <c r="O1669" s="870"/>
      <c r="P1669" s="870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73"/>
      <c r="E1670" s="677"/>
      <c r="F1670" s="677"/>
      <c r="G1670" s="677"/>
      <c r="H1670" s="872"/>
      <c r="I1670" s="871"/>
      <c r="J1670" s="871"/>
      <c r="K1670" s="870"/>
      <c r="L1670" s="870"/>
      <c r="M1670" s="870"/>
      <c r="N1670" s="870"/>
      <c r="O1670" s="870"/>
      <c r="P1670" s="870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73"/>
      <c r="E1671" s="677"/>
      <c r="F1671" s="677"/>
      <c r="G1671" s="677"/>
      <c r="H1671" s="872"/>
      <c r="I1671" s="871"/>
      <c r="J1671" s="871"/>
      <c r="K1671" s="870"/>
      <c r="L1671" s="870"/>
      <c r="M1671" s="870"/>
      <c r="N1671" s="870"/>
      <c r="O1671" s="870"/>
      <c r="P1671" s="870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73"/>
      <c r="E1672" s="677"/>
      <c r="F1672" s="677"/>
      <c r="G1672" s="677"/>
      <c r="H1672" s="872"/>
      <c r="I1672" s="871"/>
      <c r="J1672" s="871"/>
      <c r="K1672" s="870"/>
      <c r="L1672" s="870"/>
      <c r="M1672" s="870"/>
      <c r="N1672" s="870"/>
      <c r="O1672" s="870"/>
      <c r="P1672" s="870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73"/>
      <c r="E1673" s="677"/>
      <c r="F1673" s="677"/>
      <c r="G1673" s="677"/>
      <c r="H1673" s="872"/>
      <c r="I1673" s="871"/>
      <c r="J1673" s="871"/>
      <c r="K1673" s="870"/>
      <c r="L1673" s="870"/>
      <c r="M1673" s="870"/>
      <c r="N1673" s="870"/>
      <c r="O1673" s="870"/>
      <c r="P1673" s="870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73"/>
      <c r="E1674" s="677"/>
      <c r="F1674" s="677"/>
      <c r="G1674" s="677"/>
      <c r="H1674" s="872"/>
      <c r="I1674" s="871"/>
      <c r="J1674" s="871"/>
      <c r="K1674" s="870"/>
      <c r="L1674" s="870"/>
      <c r="M1674" s="870"/>
      <c r="N1674" s="870"/>
      <c r="O1674" s="870"/>
      <c r="P1674" s="870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73"/>
      <c r="E1675" s="677"/>
      <c r="F1675" s="677"/>
      <c r="G1675" s="677"/>
      <c r="H1675" s="872"/>
      <c r="I1675" s="871"/>
      <c r="J1675" s="871"/>
      <c r="K1675" s="870"/>
      <c r="L1675" s="870"/>
      <c r="M1675" s="870"/>
      <c r="N1675" s="870"/>
      <c r="O1675" s="870"/>
      <c r="P1675" s="870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73"/>
      <c r="E1676" s="677"/>
      <c r="F1676" s="677"/>
      <c r="G1676" s="677"/>
      <c r="H1676" s="872"/>
      <c r="I1676" s="871"/>
      <c r="J1676" s="871"/>
      <c r="K1676" s="870"/>
      <c r="L1676" s="870"/>
      <c r="M1676" s="870"/>
      <c r="N1676" s="870"/>
      <c r="O1676" s="870"/>
      <c r="P1676" s="870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73"/>
      <c r="E1677" s="677"/>
      <c r="F1677" s="677"/>
      <c r="G1677" s="677"/>
      <c r="H1677" s="872"/>
      <c r="I1677" s="871"/>
      <c r="J1677" s="871"/>
      <c r="K1677" s="870"/>
      <c r="L1677" s="870"/>
      <c r="M1677" s="870"/>
      <c r="N1677" s="870"/>
      <c r="O1677" s="870"/>
      <c r="P1677" s="870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73"/>
      <c r="E1678" s="677"/>
      <c r="F1678" s="677"/>
      <c r="G1678" s="677"/>
      <c r="H1678" s="872"/>
      <c r="I1678" s="871"/>
      <c r="J1678" s="871"/>
      <c r="K1678" s="870"/>
      <c r="L1678" s="870"/>
      <c r="M1678" s="870"/>
      <c r="N1678" s="870"/>
      <c r="O1678" s="870"/>
      <c r="P1678" s="870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73"/>
      <c r="E1679" s="677"/>
      <c r="F1679" s="677"/>
      <c r="G1679" s="677"/>
      <c r="H1679" s="872"/>
      <c r="I1679" s="871"/>
      <c r="J1679" s="871"/>
      <c r="K1679" s="870"/>
      <c r="L1679" s="870"/>
      <c r="M1679" s="870"/>
      <c r="N1679" s="870"/>
      <c r="O1679" s="870"/>
      <c r="P1679" s="870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73"/>
      <c r="E1680" s="677"/>
      <c r="F1680" s="677"/>
      <c r="G1680" s="677"/>
      <c r="H1680" s="872"/>
      <c r="I1680" s="871"/>
      <c r="J1680" s="871"/>
      <c r="K1680" s="870"/>
      <c r="L1680" s="870"/>
      <c r="M1680" s="870"/>
      <c r="N1680" s="870"/>
      <c r="O1680" s="870"/>
      <c r="P1680" s="870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73"/>
      <c r="E1681" s="677"/>
      <c r="F1681" s="677"/>
      <c r="G1681" s="677"/>
      <c r="H1681" s="872"/>
      <c r="I1681" s="871"/>
      <c r="J1681" s="871"/>
      <c r="K1681" s="870"/>
      <c r="L1681" s="870"/>
      <c r="M1681" s="870"/>
      <c r="N1681" s="870"/>
      <c r="O1681" s="870"/>
      <c r="P1681" s="870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73"/>
      <c r="E1682" s="677"/>
      <c r="F1682" s="677"/>
      <c r="G1682" s="677"/>
      <c r="H1682" s="872"/>
      <c r="I1682" s="871"/>
      <c r="J1682" s="871"/>
      <c r="K1682" s="870"/>
      <c r="L1682" s="870"/>
      <c r="M1682" s="870"/>
      <c r="N1682" s="870"/>
      <c r="O1682" s="870"/>
      <c r="P1682" s="870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73"/>
      <c r="E1683" s="677"/>
      <c r="F1683" s="677"/>
      <c r="G1683" s="677"/>
      <c r="H1683" s="872"/>
      <c r="I1683" s="871"/>
      <c r="J1683" s="871"/>
      <c r="K1683" s="870"/>
      <c r="L1683" s="870"/>
      <c r="M1683" s="870"/>
      <c r="N1683" s="870"/>
      <c r="O1683" s="870"/>
      <c r="P1683" s="870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73"/>
      <c r="E1684" s="677"/>
      <c r="F1684" s="677"/>
      <c r="G1684" s="677"/>
      <c r="H1684" s="872"/>
      <c r="I1684" s="871"/>
      <c r="J1684" s="871"/>
      <c r="K1684" s="870"/>
      <c r="L1684" s="870"/>
      <c r="M1684" s="870"/>
      <c r="N1684" s="870"/>
      <c r="O1684" s="870"/>
      <c r="P1684" s="870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73"/>
      <c r="E1685" s="677"/>
      <c r="F1685" s="677"/>
      <c r="G1685" s="677"/>
      <c r="H1685" s="872"/>
      <c r="I1685" s="871"/>
      <c r="J1685" s="871"/>
      <c r="K1685" s="870"/>
      <c r="L1685" s="870"/>
      <c r="M1685" s="870"/>
      <c r="N1685" s="870"/>
      <c r="O1685" s="870"/>
      <c r="P1685" s="870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73"/>
      <c r="E1686" s="677"/>
      <c r="F1686" s="677"/>
      <c r="G1686" s="677"/>
      <c r="H1686" s="872"/>
      <c r="I1686" s="871"/>
      <c r="J1686" s="871"/>
      <c r="K1686" s="870"/>
      <c r="L1686" s="870"/>
      <c r="M1686" s="870"/>
      <c r="N1686" s="870"/>
      <c r="O1686" s="870"/>
      <c r="P1686" s="870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73"/>
      <c r="E1687" s="677"/>
      <c r="F1687" s="677"/>
      <c r="G1687" s="677"/>
      <c r="H1687" s="872"/>
      <c r="I1687" s="871"/>
      <c r="J1687" s="871"/>
      <c r="K1687" s="870"/>
      <c r="L1687" s="870"/>
      <c r="M1687" s="870"/>
      <c r="N1687" s="870"/>
      <c r="O1687" s="870"/>
      <c r="P1687" s="870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73"/>
      <c r="E1688" s="677"/>
      <c r="F1688" s="677"/>
      <c r="G1688" s="677"/>
      <c r="H1688" s="872"/>
      <c r="I1688" s="871"/>
      <c r="J1688" s="871"/>
      <c r="K1688" s="870"/>
      <c r="L1688" s="870"/>
      <c r="M1688" s="870"/>
      <c r="N1688" s="870"/>
      <c r="O1688" s="870"/>
      <c r="P1688" s="870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73"/>
      <c r="E1689" s="677"/>
      <c r="F1689" s="677"/>
      <c r="G1689" s="677"/>
      <c r="H1689" s="872"/>
      <c r="I1689" s="871"/>
      <c r="J1689" s="871"/>
      <c r="K1689" s="870"/>
      <c r="L1689" s="870"/>
      <c r="M1689" s="870"/>
      <c r="N1689" s="870"/>
      <c r="O1689" s="870"/>
      <c r="P1689" s="870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73"/>
      <c r="E1690" s="677"/>
      <c r="F1690" s="677"/>
      <c r="G1690" s="677"/>
      <c r="H1690" s="872"/>
      <c r="I1690" s="871"/>
      <c r="J1690" s="871"/>
      <c r="K1690" s="870"/>
      <c r="L1690" s="870"/>
      <c r="M1690" s="870"/>
      <c r="N1690" s="870"/>
      <c r="O1690" s="870"/>
      <c r="P1690" s="870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73"/>
      <c r="E1691" s="677"/>
      <c r="F1691" s="677"/>
      <c r="G1691" s="677"/>
      <c r="H1691" s="872"/>
      <c r="I1691" s="871"/>
      <c r="J1691" s="871"/>
      <c r="K1691" s="870"/>
      <c r="L1691" s="870"/>
      <c r="M1691" s="870"/>
      <c r="N1691" s="870"/>
      <c r="O1691" s="870"/>
      <c r="P1691" s="870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73"/>
      <c r="E1692" s="677"/>
      <c r="F1692" s="677"/>
      <c r="G1692" s="677"/>
      <c r="H1692" s="872"/>
      <c r="I1692" s="871"/>
      <c r="J1692" s="871"/>
      <c r="K1692" s="870"/>
      <c r="L1692" s="870"/>
      <c r="M1692" s="870"/>
      <c r="N1692" s="870"/>
      <c r="O1692" s="870"/>
      <c r="P1692" s="870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73"/>
      <c r="E1693" s="677"/>
      <c r="F1693" s="677"/>
      <c r="G1693" s="677"/>
      <c r="H1693" s="872"/>
      <c r="I1693" s="871"/>
      <c r="J1693" s="871"/>
      <c r="K1693" s="870"/>
      <c r="L1693" s="870"/>
      <c r="M1693" s="870"/>
      <c r="N1693" s="870"/>
      <c r="O1693" s="870"/>
      <c r="P1693" s="870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73"/>
      <c r="E1694" s="677"/>
      <c r="F1694" s="677"/>
      <c r="G1694" s="677"/>
      <c r="H1694" s="872"/>
      <c r="I1694" s="871"/>
      <c r="J1694" s="871"/>
      <c r="K1694" s="870"/>
      <c r="L1694" s="870"/>
      <c r="M1694" s="870"/>
      <c r="N1694" s="870"/>
      <c r="O1694" s="870"/>
      <c r="P1694" s="870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73"/>
      <c r="E1695" s="677"/>
      <c r="F1695" s="677"/>
      <c r="G1695" s="677"/>
      <c r="H1695" s="872"/>
      <c r="I1695" s="871"/>
      <c r="J1695" s="871"/>
      <c r="K1695" s="870"/>
      <c r="L1695" s="870"/>
      <c r="M1695" s="870"/>
      <c r="N1695" s="870"/>
      <c r="O1695" s="870"/>
      <c r="P1695" s="870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73"/>
      <c r="E1696" s="677"/>
      <c r="F1696" s="677"/>
      <c r="G1696" s="677"/>
      <c r="H1696" s="872"/>
      <c r="I1696" s="871"/>
      <c r="J1696" s="871"/>
      <c r="K1696" s="870"/>
      <c r="L1696" s="870"/>
      <c r="M1696" s="870"/>
      <c r="N1696" s="870"/>
      <c r="O1696" s="870"/>
      <c r="P1696" s="870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73"/>
      <c r="E1697" s="677"/>
      <c r="F1697" s="677"/>
      <c r="G1697" s="677"/>
      <c r="H1697" s="872"/>
      <c r="I1697" s="871"/>
      <c r="J1697" s="871"/>
      <c r="K1697" s="870"/>
      <c r="L1697" s="870"/>
      <c r="M1697" s="870"/>
      <c r="N1697" s="870"/>
      <c r="O1697" s="870"/>
      <c r="P1697" s="870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73"/>
      <c r="E1698" s="677"/>
      <c r="F1698" s="677"/>
      <c r="G1698" s="677"/>
      <c r="H1698" s="872"/>
      <c r="I1698" s="871"/>
      <c r="J1698" s="871"/>
      <c r="K1698" s="870"/>
      <c r="L1698" s="870"/>
      <c r="M1698" s="870"/>
      <c r="N1698" s="870"/>
      <c r="O1698" s="870"/>
      <c r="P1698" s="870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73"/>
      <c r="E1699" s="677"/>
      <c r="F1699" s="677"/>
      <c r="G1699" s="677"/>
      <c r="H1699" s="872"/>
      <c r="I1699" s="871"/>
      <c r="J1699" s="871"/>
      <c r="K1699" s="870"/>
      <c r="L1699" s="870"/>
      <c r="M1699" s="870"/>
      <c r="N1699" s="870"/>
      <c r="O1699" s="870"/>
      <c r="P1699" s="870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73"/>
      <c r="E1700" s="677"/>
      <c r="F1700" s="677"/>
      <c r="G1700" s="677"/>
      <c r="H1700" s="872"/>
      <c r="I1700" s="871"/>
      <c r="J1700" s="871"/>
      <c r="K1700" s="870"/>
      <c r="L1700" s="870"/>
      <c r="M1700" s="870"/>
      <c r="N1700" s="870"/>
      <c r="O1700" s="870"/>
      <c r="P1700" s="870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73"/>
      <c r="E1701" s="677"/>
      <c r="F1701" s="677"/>
      <c r="G1701" s="677"/>
      <c r="H1701" s="872"/>
      <c r="I1701" s="871"/>
      <c r="J1701" s="871"/>
      <c r="K1701" s="870"/>
      <c r="L1701" s="870"/>
      <c r="M1701" s="870"/>
      <c r="N1701" s="870"/>
      <c r="O1701" s="870"/>
      <c r="P1701" s="870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73"/>
      <c r="E1702" s="677"/>
      <c r="F1702" s="677"/>
      <c r="G1702" s="677"/>
      <c r="H1702" s="872"/>
      <c r="I1702" s="871"/>
      <c r="J1702" s="871"/>
      <c r="K1702" s="870"/>
      <c r="L1702" s="870"/>
      <c r="M1702" s="870"/>
      <c r="N1702" s="870"/>
      <c r="O1702" s="870"/>
      <c r="P1702" s="870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73"/>
      <c r="E1703" s="677"/>
      <c r="F1703" s="677"/>
      <c r="G1703" s="677"/>
      <c r="H1703" s="872"/>
      <c r="I1703" s="871"/>
      <c r="J1703" s="871"/>
      <c r="K1703" s="870"/>
      <c r="L1703" s="870"/>
      <c r="M1703" s="870"/>
      <c r="N1703" s="870"/>
      <c r="O1703" s="870"/>
      <c r="P1703" s="870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73"/>
      <c r="E1704" s="677"/>
      <c r="F1704" s="677"/>
      <c r="G1704" s="677"/>
      <c r="H1704" s="872"/>
      <c r="I1704" s="871"/>
      <c r="J1704" s="871"/>
      <c r="K1704" s="870"/>
      <c r="L1704" s="870"/>
      <c r="M1704" s="870"/>
      <c r="N1704" s="870"/>
      <c r="O1704" s="870"/>
      <c r="P1704" s="870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73"/>
      <c r="E1705" s="677"/>
      <c r="F1705" s="677"/>
      <c r="G1705" s="677"/>
      <c r="H1705" s="872"/>
      <c r="I1705" s="871"/>
      <c r="J1705" s="871"/>
      <c r="K1705" s="870"/>
      <c r="L1705" s="870"/>
      <c r="M1705" s="870"/>
      <c r="N1705" s="870"/>
      <c r="O1705" s="870"/>
      <c r="P1705" s="870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73"/>
      <c r="E1706" s="677"/>
      <c r="F1706" s="677"/>
      <c r="G1706" s="677"/>
      <c r="H1706" s="872"/>
      <c r="I1706" s="871"/>
      <c r="J1706" s="871"/>
      <c r="K1706" s="870"/>
      <c r="L1706" s="870"/>
      <c r="M1706" s="870"/>
      <c r="N1706" s="870"/>
      <c r="O1706" s="870"/>
      <c r="P1706" s="870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73"/>
      <c r="E1707" s="677"/>
      <c r="F1707" s="677"/>
      <c r="G1707" s="677"/>
      <c r="H1707" s="872"/>
      <c r="I1707" s="871"/>
      <c r="J1707" s="871"/>
      <c r="K1707" s="870"/>
      <c r="L1707" s="870"/>
      <c r="M1707" s="870"/>
      <c r="N1707" s="870"/>
      <c r="O1707" s="870"/>
      <c r="P1707" s="870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73"/>
      <c r="E1708" s="677"/>
      <c r="F1708" s="677"/>
      <c r="G1708" s="677"/>
      <c r="H1708" s="872"/>
      <c r="I1708" s="871"/>
      <c r="J1708" s="871"/>
      <c r="K1708" s="870"/>
      <c r="L1708" s="870"/>
      <c r="M1708" s="870"/>
      <c r="N1708" s="870"/>
      <c r="O1708" s="870"/>
      <c r="P1708" s="870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73"/>
      <c r="E1709" s="677"/>
      <c r="F1709" s="677"/>
      <c r="G1709" s="677"/>
      <c r="H1709" s="872"/>
      <c r="I1709" s="871"/>
      <c r="J1709" s="871"/>
      <c r="K1709" s="870"/>
      <c r="L1709" s="870"/>
      <c r="M1709" s="870"/>
      <c r="N1709" s="870"/>
      <c r="O1709" s="870"/>
      <c r="P1709" s="870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73"/>
      <c r="E1710" s="677"/>
      <c r="F1710" s="677"/>
      <c r="G1710" s="677"/>
      <c r="H1710" s="872"/>
      <c r="I1710" s="871"/>
      <c r="J1710" s="871"/>
      <c r="K1710" s="870"/>
      <c r="L1710" s="870"/>
      <c r="M1710" s="870"/>
      <c r="N1710" s="870"/>
      <c r="O1710" s="870"/>
      <c r="P1710" s="870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73"/>
      <c r="E1711" s="677"/>
      <c r="F1711" s="677"/>
      <c r="G1711" s="677"/>
      <c r="H1711" s="872"/>
      <c r="I1711" s="871"/>
      <c r="J1711" s="871"/>
      <c r="K1711" s="870"/>
      <c r="L1711" s="870"/>
      <c r="M1711" s="870"/>
      <c r="N1711" s="870"/>
      <c r="O1711" s="870"/>
      <c r="P1711" s="870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73"/>
      <c r="E1712" s="677"/>
      <c r="F1712" s="677"/>
      <c r="G1712" s="677"/>
      <c r="H1712" s="872"/>
      <c r="I1712" s="871"/>
      <c r="J1712" s="871"/>
      <c r="K1712" s="870"/>
      <c r="L1712" s="870"/>
      <c r="M1712" s="870"/>
      <c r="N1712" s="870"/>
      <c r="O1712" s="870"/>
      <c r="P1712" s="870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73"/>
      <c r="E1713" s="677"/>
      <c r="F1713" s="677"/>
      <c r="G1713" s="677"/>
      <c r="H1713" s="872"/>
      <c r="I1713" s="871"/>
      <c r="J1713" s="871"/>
      <c r="K1713" s="870"/>
      <c r="L1713" s="870"/>
      <c r="M1713" s="870"/>
      <c r="N1713" s="870"/>
      <c r="O1713" s="870"/>
      <c r="P1713" s="870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73"/>
      <c r="E1714" s="677"/>
      <c r="F1714" s="677"/>
      <c r="G1714" s="677"/>
      <c r="H1714" s="872"/>
      <c r="I1714" s="871"/>
      <c r="J1714" s="871"/>
      <c r="K1714" s="870"/>
      <c r="L1714" s="870"/>
      <c r="M1714" s="870"/>
      <c r="N1714" s="870"/>
      <c r="O1714" s="870"/>
      <c r="P1714" s="870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73"/>
      <c r="E1715" s="677"/>
      <c r="F1715" s="677"/>
      <c r="G1715" s="677"/>
      <c r="H1715" s="872"/>
      <c r="I1715" s="871"/>
      <c r="J1715" s="871"/>
      <c r="K1715" s="870"/>
      <c r="L1715" s="870"/>
      <c r="M1715" s="870"/>
      <c r="N1715" s="870"/>
      <c r="O1715" s="870"/>
      <c r="P1715" s="870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73"/>
      <c r="E1716" s="677"/>
      <c r="F1716" s="677"/>
      <c r="G1716" s="677"/>
      <c r="H1716" s="872"/>
      <c r="I1716" s="871"/>
      <c r="J1716" s="871"/>
      <c r="K1716" s="870"/>
      <c r="L1716" s="870"/>
      <c r="M1716" s="870"/>
      <c r="N1716" s="870"/>
      <c r="O1716" s="870"/>
      <c r="P1716" s="870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73"/>
      <c r="E1717" s="677"/>
      <c r="F1717" s="677"/>
      <c r="G1717" s="677"/>
      <c r="H1717" s="872"/>
      <c r="I1717" s="871"/>
      <c r="J1717" s="871"/>
      <c r="K1717" s="870"/>
      <c r="L1717" s="870"/>
      <c r="M1717" s="870"/>
      <c r="N1717" s="870"/>
      <c r="O1717" s="870"/>
      <c r="P1717" s="870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73"/>
      <c r="E1718" s="677"/>
      <c r="F1718" s="677"/>
      <c r="G1718" s="677"/>
      <c r="H1718" s="872"/>
      <c r="I1718" s="871"/>
      <c r="J1718" s="871"/>
      <c r="K1718" s="870"/>
      <c r="L1718" s="870"/>
      <c r="M1718" s="870"/>
      <c r="N1718" s="870"/>
      <c r="O1718" s="870"/>
      <c r="P1718" s="870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73"/>
      <c r="E1719" s="677"/>
      <c r="F1719" s="677"/>
      <c r="G1719" s="677"/>
      <c r="H1719" s="872"/>
      <c r="I1719" s="871"/>
      <c r="J1719" s="871"/>
      <c r="K1719" s="870"/>
      <c r="L1719" s="870"/>
      <c r="M1719" s="870"/>
      <c r="N1719" s="870"/>
      <c r="O1719" s="870"/>
      <c r="P1719" s="870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73"/>
      <c r="E1720" s="677"/>
      <c r="F1720" s="677"/>
      <c r="G1720" s="677"/>
      <c r="H1720" s="872"/>
      <c r="I1720" s="871"/>
      <c r="J1720" s="871"/>
      <c r="K1720" s="870"/>
      <c r="L1720" s="870"/>
      <c r="M1720" s="870"/>
      <c r="N1720" s="870"/>
      <c r="O1720" s="870"/>
      <c r="P1720" s="870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73"/>
      <c r="E1721" s="677"/>
      <c r="F1721" s="677"/>
      <c r="G1721" s="677"/>
      <c r="H1721" s="872"/>
      <c r="I1721" s="871"/>
      <c r="J1721" s="871"/>
      <c r="K1721" s="870"/>
      <c r="L1721" s="870"/>
      <c r="M1721" s="870"/>
      <c r="N1721" s="870"/>
      <c r="O1721" s="870"/>
      <c r="P1721" s="870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73"/>
      <c r="E1722" s="677"/>
      <c r="F1722" s="677"/>
      <c r="G1722" s="677"/>
      <c r="H1722" s="872"/>
      <c r="I1722" s="871"/>
      <c r="J1722" s="871"/>
      <c r="K1722" s="870"/>
      <c r="L1722" s="870"/>
      <c r="M1722" s="870"/>
      <c r="N1722" s="870"/>
      <c r="O1722" s="870"/>
      <c r="P1722" s="870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73"/>
      <c r="E1723" s="677"/>
      <c r="F1723" s="677"/>
      <c r="G1723" s="677"/>
      <c r="H1723" s="872"/>
      <c r="I1723" s="871"/>
      <c r="J1723" s="871"/>
      <c r="K1723" s="870"/>
      <c r="L1723" s="870"/>
      <c r="M1723" s="870"/>
      <c r="N1723" s="870"/>
      <c r="O1723" s="870"/>
      <c r="P1723" s="870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73"/>
      <c r="E1724" s="677"/>
      <c r="F1724" s="677"/>
      <c r="G1724" s="677"/>
      <c r="H1724" s="872"/>
      <c r="I1724" s="871"/>
      <c r="J1724" s="871"/>
      <c r="K1724" s="870"/>
      <c r="L1724" s="870"/>
      <c r="M1724" s="870"/>
      <c r="N1724" s="870"/>
      <c r="O1724" s="870"/>
      <c r="P1724" s="870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73"/>
      <c r="E1725" s="677"/>
      <c r="F1725" s="677"/>
      <c r="G1725" s="677"/>
      <c r="H1725" s="872"/>
      <c r="I1725" s="871"/>
      <c r="J1725" s="871"/>
      <c r="K1725" s="870"/>
      <c r="L1725" s="870"/>
      <c r="M1725" s="870"/>
      <c r="N1725" s="870"/>
      <c r="O1725" s="870"/>
      <c r="P1725" s="870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73"/>
      <c r="E1726" s="677"/>
      <c r="F1726" s="677"/>
      <c r="G1726" s="677"/>
      <c r="H1726" s="872"/>
      <c r="I1726" s="871"/>
      <c r="J1726" s="871"/>
      <c r="K1726" s="870"/>
      <c r="L1726" s="870"/>
      <c r="M1726" s="870"/>
      <c r="N1726" s="870"/>
      <c r="O1726" s="870"/>
      <c r="P1726" s="870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73"/>
      <c r="E1727" s="677"/>
      <c r="F1727" s="677"/>
      <c r="G1727" s="677"/>
      <c r="H1727" s="872"/>
      <c r="I1727" s="871"/>
      <c r="J1727" s="871"/>
      <c r="K1727" s="870"/>
      <c r="L1727" s="870"/>
      <c r="M1727" s="870"/>
      <c r="N1727" s="870"/>
      <c r="O1727" s="870"/>
      <c r="P1727" s="870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73"/>
      <c r="E1728" s="677"/>
      <c r="F1728" s="677"/>
      <c r="G1728" s="677"/>
      <c r="H1728" s="872"/>
      <c r="I1728" s="871"/>
      <c r="J1728" s="871"/>
      <c r="K1728" s="870"/>
      <c r="L1728" s="870"/>
      <c r="M1728" s="870"/>
      <c r="N1728" s="870"/>
      <c r="O1728" s="870"/>
      <c r="P1728" s="870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73"/>
      <c r="E1729" s="677"/>
      <c r="F1729" s="677"/>
      <c r="G1729" s="677"/>
      <c r="H1729" s="872"/>
      <c r="I1729" s="871"/>
      <c r="J1729" s="871"/>
      <c r="K1729" s="870"/>
      <c r="L1729" s="870"/>
      <c r="M1729" s="870"/>
      <c r="N1729" s="870"/>
      <c r="O1729" s="870"/>
      <c r="P1729" s="870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73"/>
      <c r="E1730" s="677"/>
      <c r="F1730" s="677"/>
      <c r="G1730" s="677"/>
      <c r="H1730" s="872"/>
      <c r="I1730" s="871"/>
      <c r="J1730" s="871"/>
      <c r="K1730" s="870"/>
      <c r="L1730" s="870"/>
      <c r="M1730" s="870"/>
      <c r="N1730" s="870"/>
      <c r="O1730" s="870"/>
      <c r="P1730" s="870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73"/>
      <c r="E1731" s="677"/>
      <c r="F1731" s="677"/>
      <c r="G1731" s="677"/>
      <c r="H1731" s="872"/>
      <c r="I1731" s="871"/>
      <c r="J1731" s="871"/>
      <c r="K1731" s="870"/>
      <c r="L1731" s="870"/>
      <c r="M1731" s="870"/>
      <c r="N1731" s="870"/>
      <c r="O1731" s="870"/>
      <c r="P1731" s="870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73"/>
      <c r="E1732" s="677"/>
      <c r="F1732" s="677"/>
      <c r="G1732" s="677"/>
      <c r="H1732" s="872"/>
      <c r="I1732" s="871"/>
      <c r="J1732" s="871"/>
      <c r="K1732" s="870"/>
      <c r="L1732" s="870"/>
      <c r="M1732" s="870"/>
      <c r="N1732" s="870"/>
      <c r="O1732" s="870"/>
      <c r="P1732" s="870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73"/>
      <c r="E1733" s="677"/>
      <c r="F1733" s="677"/>
      <c r="G1733" s="677"/>
      <c r="H1733" s="872"/>
      <c r="I1733" s="871"/>
      <c r="J1733" s="871"/>
      <c r="K1733" s="870"/>
      <c r="L1733" s="870"/>
      <c r="M1733" s="870"/>
      <c r="N1733" s="870"/>
      <c r="O1733" s="870"/>
      <c r="P1733" s="870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73"/>
      <c r="E1734" s="677"/>
      <c r="F1734" s="677"/>
      <c r="G1734" s="677"/>
      <c r="H1734" s="872"/>
      <c r="I1734" s="871"/>
      <c r="J1734" s="871"/>
      <c r="K1734" s="870"/>
      <c r="L1734" s="870"/>
      <c r="M1734" s="870"/>
      <c r="N1734" s="870"/>
      <c r="O1734" s="870"/>
      <c r="P1734" s="870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73"/>
      <c r="E1735" s="677"/>
      <c r="F1735" s="677"/>
      <c r="G1735" s="677"/>
      <c r="H1735" s="872"/>
      <c r="I1735" s="871"/>
      <c r="J1735" s="871"/>
      <c r="K1735" s="870"/>
      <c r="L1735" s="870"/>
      <c r="M1735" s="870"/>
      <c r="N1735" s="870"/>
      <c r="O1735" s="870"/>
      <c r="P1735" s="870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73"/>
      <c r="E1736" s="677"/>
      <c r="F1736" s="677"/>
      <c r="G1736" s="677"/>
      <c r="H1736" s="872"/>
      <c r="I1736" s="871"/>
      <c r="J1736" s="871"/>
      <c r="K1736" s="870"/>
      <c r="L1736" s="870"/>
      <c r="M1736" s="870"/>
      <c r="N1736" s="870"/>
      <c r="O1736" s="870"/>
      <c r="P1736" s="870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73"/>
      <c r="E1737" s="677"/>
      <c r="F1737" s="677"/>
      <c r="G1737" s="677"/>
      <c r="H1737" s="872"/>
      <c r="I1737" s="871"/>
      <c r="J1737" s="871"/>
      <c r="K1737" s="870"/>
      <c r="L1737" s="870"/>
      <c r="M1737" s="870"/>
      <c r="N1737" s="870"/>
      <c r="O1737" s="870"/>
      <c r="P1737" s="870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73"/>
      <c r="E1738" s="677"/>
      <c r="F1738" s="677"/>
      <c r="G1738" s="677"/>
      <c r="H1738" s="872"/>
      <c r="I1738" s="871"/>
      <c r="J1738" s="871"/>
      <c r="K1738" s="870"/>
      <c r="L1738" s="870"/>
      <c r="M1738" s="870"/>
      <c r="N1738" s="870"/>
      <c r="O1738" s="870"/>
      <c r="P1738" s="870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73"/>
      <c r="E1739" s="677"/>
      <c r="F1739" s="677"/>
      <c r="G1739" s="677"/>
      <c r="H1739" s="872"/>
      <c r="I1739" s="871"/>
      <c r="J1739" s="871"/>
      <c r="K1739" s="870"/>
      <c r="L1739" s="870"/>
      <c r="M1739" s="870"/>
      <c r="N1739" s="870"/>
      <c r="O1739" s="870"/>
      <c r="P1739" s="870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73"/>
      <c r="E1740" s="677"/>
      <c r="F1740" s="677"/>
      <c r="G1740" s="677"/>
      <c r="H1740" s="872"/>
      <c r="I1740" s="871"/>
      <c r="J1740" s="871"/>
      <c r="K1740" s="870"/>
      <c r="L1740" s="870"/>
      <c r="M1740" s="870"/>
      <c r="N1740" s="870"/>
      <c r="O1740" s="870"/>
      <c r="P1740" s="870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73"/>
      <c r="E1741" s="677"/>
      <c r="F1741" s="677"/>
      <c r="G1741" s="677"/>
      <c r="H1741" s="872"/>
      <c r="I1741" s="871"/>
      <c r="J1741" s="871"/>
      <c r="K1741" s="870"/>
      <c r="L1741" s="870"/>
      <c r="M1741" s="870"/>
      <c r="N1741" s="870"/>
      <c r="O1741" s="870"/>
      <c r="P1741" s="870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73"/>
      <c r="E1742" s="677"/>
      <c r="F1742" s="677"/>
      <c r="G1742" s="677"/>
      <c r="H1742" s="872"/>
      <c r="I1742" s="871"/>
      <c r="J1742" s="871"/>
      <c r="K1742" s="870"/>
      <c r="L1742" s="870"/>
      <c r="M1742" s="870"/>
      <c r="N1742" s="870"/>
      <c r="O1742" s="870"/>
      <c r="P1742" s="870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73"/>
      <c r="E1743" s="677"/>
      <c r="F1743" s="677"/>
      <c r="G1743" s="677"/>
      <c r="H1743" s="872"/>
      <c r="I1743" s="871"/>
      <c r="J1743" s="871"/>
      <c r="K1743" s="870"/>
      <c r="L1743" s="870"/>
      <c r="M1743" s="870"/>
      <c r="N1743" s="870"/>
      <c r="O1743" s="870"/>
      <c r="P1743" s="870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73"/>
      <c r="E1744" s="677"/>
      <c r="F1744" s="677"/>
      <c r="G1744" s="677"/>
      <c r="H1744" s="872"/>
      <c r="I1744" s="871"/>
      <c r="J1744" s="871"/>
      <c r="K1744" s="870"/>
      <c r="L1744" s="870"/>
      <c r="M1744" s="870"/>
      <c r="N1744" s="870"/>
      <c r="O1744" s="870"/>
      <c r="P1744" s="870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73"/>
      <c r="E1745" s="677"/>
      <c r="F1745" s="677"/>
      <c r="G1745" s="677"/>
      <c r="H1745" s="872"/>
      <c r="I1745" s="871"/>
      <c r="J1745" s="871"/>
      <c r="K1745" s="870"/>
      <c r="L1745" s="870"/>
      <c r="M1745" s="870"/>
      <c r="N1745" s="870"/>
      <c r="O1745" s="870"/>
      <c r="P1745" s="870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73"/>
      <c r="E1746" s="677"/>
      <c r="F1746" s="677"/>
      <c r="G1746" s="677"/>
      <c r="H1746" s="872"/>
      <c r="I1746" s="871"/>
      <c r="J1746" s="871"/>
      <c r="K1746" s="870"/>
      <c r="L1746" s="870"/>
      <c r="M1746" s="870"/>
      <c r="N1746" s="870"/>
      <c r="O1746" s="870"/>
      <c r="P1746" s="870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73"/>
      <c r="E1747" s="677"/>
      <c r="F1747" s="677"/>
      <c r="G1747" s="677"/>
      <c r="H1747" s="872"/>
      <c r="I1747" s="871"/>
      <c r="J1747" s="871"/>
      <c r="K1747" s="870"/>
      <c r="L1747" s="870"/>
      <c r="M1747" s="870"/>
      <c r="N1747" s="870"/>
      <c r="O1747" s="870"/>
      <c r="P1747" s="870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73"/>
      <c r="E1748" s="677"/>
      <c r="F1748" s="677"/>
      <c r="G1748" s="677"/>
      <c r="H1748" s="872"/>
      <c r="I1748" s="871"/>
      <c r="J1748" s="871"/>
      <c r="K1748" s="870"/>
      <c r="L1748" s="870"/>
      <c r="M1748" s="870"/>
      <c r="N1748" s="870"/>
      <c r="O1748" s="870"/>
      <c r="P1748" s="870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73"/>
      <c r="E1749" s="677"/>
      <c r="F1749" s="677"/>
      <c r="G1749" s="677"/>
      <c r="H1749" s="872"/>
      <c r="I1749" s="871"/>
      <c r="J1749" s="871"/>
      <c r="K1749" s="870"/>
      <c r="L1749" s="870"/>
      <c r="M1749" s="870"/>
      <c r="N1749" s="870"/>
      <c r="O1749" s="870"/>
      <c r="P1749" s="870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73"/>
      <c r="E1750" s="677"/>
      <c r="F1750" s="677"/>
      <c r="G1750" s="677"/>
      <c r="H1750" s="872"/>
      <c r="I1750" s="871"/>
      <c r="J1750" s="871"/>
      <c r="K1750" s="870"/>
      <c r="L1750" s="870"/>
      <c r="M1750" s="870"/>
      <c r="N1750" s="870"/>
      <c r="O1750" s="870"/>
      <c r="P1750" s="870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73"/>
      <c r="E1751" s="677"/>
      <c r="F1751" s="677"/>
      <c r="G1751" s="677"/>
      <c r="H1751" s="872"/>
      <c r="I1751" s="871"/>
      <c r="J1751" s="871"/>
      <c r="K1751" s="870"/>
      <c r="L1751" s="870"/>
      <c r="M1751" s="870"/>
      <c r="N1751" s="870"/>
      <c r="O1751" s="870"/>
      <c r="P1751" s="870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73"/>
      <c r="E1752" s="677"/>
      <c r="F1752" s="677"/>
      <c r="G1752" s="677"/>
      <c r="H1752" s="872"/>
      <c r="I1752" s="871"/>
      <c r="J1752" s="871"/>
      <c r="K1752" s="870"/>
      <c r="L1752" s="870"/>
      <c r="M1752" s="870"/>
      <c r="N1752" s="870"/>
      <c r="O1752" s="870"/>
      <c r="P1752" s="870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73"/>
      <c r="E1753" s="677"/>
      <c r="F1753" s="677"/>
      <c r="G1753" s="677"/>
      <c r="H1753" s="872"/>
      <c r="I1753" s="871"/>
      <c r="J1753" s="871"/>
      <c r="K1753" s="870"/>
      <c r="L1753" s="870"/>
      <c r="M1753" s="870"/>
      <c r="N1753" s="870"/>
      <c r="O1753" s="870"/>
      <c r="P1753" s="870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73"/>
      <c r="E1754" s="677"/>
      <c r="F1754" s="677"/>
      <c r="G1754" s="677"/>
      <c r="H1754" s="872"/>
      <c r="I1754" s="871"/>
      <c r="J1754" s="871"/>
      <c r="K1754" s="870"/>
      <c r="L1754" s="870"/>
      <c r="M1754" s="870"/>
      <c r="N1754" s="870"/>
      <c r="O1754" s="870"/>
      <c r="P1754" s="870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73"/>
      <c r="E1755" s="677"/>
      <c r="F1755" s="677"/>
      <c r="G1755" s="677"/>
      <c r="H1755" s="872"/>
      <c r="I1755" s="871"/>
      <c r="J1755" s="871"/>
      <c r="K1755" s="870"/>
      <c r="L1755" s="870"/>
      <c r="M1755" s="870"/>
      <c r="N1755" s="870"/>
      <c r="O1755" s="870"/>
      <c r="P1755" s="870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73"/>
      <c r="E1756" s="677"/>
      <c r="F1756" s="677"/>
      <c r="G1756" s="677"/>
      <c r="H1756" s="872"/>
      <c r="I1756" s="871"/>
      <c r="J1756" s="871"/>
      <c r="K1756" s="870"/>
      <c r="L1756" s="870"/>
      <c r="M1756" s="870"/>
      <c r="N1756" s="870"/>
      <c r="O1756" s="870"/>
      <c r="P1756" s="870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73"/>
      <c r="E1757" s="677"/>
      <c r="F1757" s="677"/>
      <c r="G1757" s="677"/>
      <c r="H1757" s="872"/>
      <c r="I1757" s="871"/>
      <c r="J1757" s="871"/>
      <c r="K1757" s="870"/>
      <c r="L1757" s="870"/>
      <c r="M1757" s="870"/>
      <c r="N1757" s="870"/>
      <c r="O1757" s="870"/>
      <c r="P1757" s="870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73"/>
      <c r="E1758" s="677"/>
      <c r="F1758" s="677"/>
      <c r="G1758" s="677"/>
      <c r="H1758" s="872"/>
      <c r="I1758" s="871"/>
      <c r="J1758" s="871"/>
      <c r="K1758" s="870"/>
      <c r="L1758" s="870"/>
      <c r="M1758" s="870"/>
      <c r="N1758" s="870"/>
      <c r="O1758" s="870"/>
      <c r="P1758" s="870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73"/>
      <c r="E1759" s="677"/>
      <c r="F1759" s="677"/>
      <c r="G1759" s="677"/>
      <c r="H1759" s="872"/>
      <c r="I1759" s="871"/>
      <c r="J1759" s="871"/>
      <c r="K1759" s="870"/>
      <c r="L1759" s="870"/>
      <c r="M1759" s="870"/>
      <c r="N1759" s="870"/>
      <c r="O1759" s="870"/>
      <c r="P1759" s="870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73"/>
      <c r="E1760" s="677"/>
      <c r="F1760" s="677"/>
      <c r="G1760" s="677"/>
      <c r="H1760" s="872"/>
      <c r="I1760" s="871"/>
      <c r="J1760" s="871"/>
      <c r="K1760" s="870"/>
      <c r="L1760" s="870"/>
      <c r="M1760" s="870"/>
      <c r="N1760" s="870"/>
      <c r="O1760" s="870"/>
      <c r="P1760" s="870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73"/>
      <c r="E1761" s="677"/>
      <c r="F1761" s="677"/>
      <c r="G1761" s="677"/>
      <c r="H1761" s="872"/>
      <c r="I1761" s="871"/>
      <c r="J1761" s="871"/>
      <c r="K1761" s="870"/>
      <c r="L1761" s="870"/>
      <c r="M1761" s="870"/>
      <c r="N1761" s="870"/>
      <c r="O1761" s="870"/>
      <c r="P1761" s="870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73"/>
      <c r="E1762" s="677"/>
      <c r="F1762" s="677"/>
      <c r="G1762" s="677"/>
      <c r="H1762" s="872"/>
      <c r="I1762" s="871"/>
      <c r="J1762" s="871"/>
      <c r="K1762" s="870"/>
      <c r="L1762" s="870"/>
      <c r="M1762" s="870"/>
      <c r="N1762" s="870"/>
      <c r="O1762" s="870"/>
      <c r="P1762" s="870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73"/>
      <c r="E1763" s="677"/>
      <c r="F1763" s="677"/>
      <c r="G1763" s="677"/>
      <c r="H1763" s="872"/>
      <c r="I1763" s="871"/>
      <c r="J1763" s="871"/>
      <c r="K1763" s="870"/>
      <c r="L1763" s="870"/>
      <c r="M1763" s="870"/>
      <c r="N1763" s="870"/>
      <c r="O1763" s="870"/>
      <c r="P1763" s="870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73"/>
      <c r="E1764" s="677"/>
      <c r="F1764" s="677"/>
      <c r="G1764" s="677"/>
      <c r="H1764" s="872"/>
      <c r="I1764" s="871"/>
      <c r="J1764" s="871"/>
      <c r="K1764" s="870"/>
      <c r="L1764" s="870"/>
      <c r="M1764" s="870"/>
      <c r="N1764" s="870"/>
      <c r="O1764" s="870"/>
      <c r="P1764" s="870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73"/>
      <c r="E1765" s="677"/>
      <c r="F1765" s="677"/>
      <c r="G1765" s="677"/>
      <c r="H1765" s="872"/>
      <c r="I1765" s="871"/>
      <c r="J1765" s="871"/>
      <c r="K1765" s="870"/>
      <c r="L1765" s="870"/>
      <c r="M1765" s="870"/>
      <c r="N1765" s="870"/>
      <c r="O1765" s="870"/>
      <c r="P1765" s="870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73"/>
      <c r="E1766" s="677"/>
      <c r="F1766" s="677"/>
      <c r="G1766" s="677"/>
      <c r="H1766" s="872"/>
      <c r="I1766" s="871"/>
      <c r="J1766" s="871"/>
      <c r="K1766" s="870"/>
      <c r="L1766" s="870"/>
      <c r="M1766" s="870"/>
      <c r="N1766" s="870"/>
      <c r="O1766" s="870"/>
      <c r="P1766" s="870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73"/>
      <c r="E1767" s="677"/>
      <c r="F1767" s="677"/>
      <c r="G1767" s="677"/>
      <c r="H1767" s="872"/>
      <c r="I1767" s="871"/>
      <c r="J1767" s="871"/>
      <c r="K1767" s="870"/>
      <c r="L1767" s="870"/>
      <c r="M1767" s="870"/>
      <c r="N1767" s="870"/>
      <c r="O1767" s="870"/>
      <c r="P1767" s="870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73"/>
      <c r="E1768" s="677"/>
      <c r="F1768" s="677"/>
      <c r="G1768" s="677"/>
      <c r="H1768" s="872"/>
      <c r="I1768" s="871"/>
      <c r="J1768" s="871"/>
      <c r="K1768" s="870"/>
      <c r="L1768" s="870"/>
      <c r="M1768" s="870"/>
      <c r="N1768" s="870"/>
      <c r="O1768" s="870"/>
      <c r="P1768" s="870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73"/>
      <c r="E1769" s="677"/>
      <c r="F1769" s="677"/>
      <c r="G1769" s="677"/>
      <c r="H1769" s="872"/>
      <c r="I1769" s="871"/>
      <c r="J1769" s="871"/>
      <c r="K1769" s="870"/>
      <c r="L1769" s="870"/>
      <c r="M1769" s="870"/>
      <c r="N1769" s="870"/>
      <c r="O1769" s="870"/>
      <c r="P1769" s="870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73"/>
      <c r="E1770" s="677"/>
      <c r="F1770" s="677"/>
      <c r="G1770" s="677"/>
      <c r="H1770" s="872"/>
      <c r="I1770" s="871"/>
      <c r="J1770" s="871"/>
      <c r="K1770" s="870"/>
      <c r="L1770" s="870"/>
      <c r="M1770" s="870"/>
      <c r="N1770" s="870"/>
      <c r="O1770" s="870"/>
      <c r="P1770" s="870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73"/>
      <c r="E1771" s="677"/>
      <c r="F1771" s="677"/>
      <c r="G1771" s="677"/>
      <c r="H1771" s="872"/>
      <c r="I1771" s="871"/>
      <c r="J1771" s="871"/>
      <c r="K1771" s="870"/>
      <c r="L1771" s="870"/>
      <c r="M1771" s="870"/>
      <c r="N1771" s="870"/>
      <c r="O1771" s="870"/>
      <c r="P1771" s="870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73"/>
      <c r="E1772" s="677"/>
      <c r="F1772" s="677"/>
      <c r="G1772" s="677"/>
      <c r="H1772" s="872"/>
      <c r="I1772" s="871"/>
      <c r="J1772" s="871"/>
      <c r="K1772" s="870"/>
      <c r="L1772" s="870"/>
      <c r="M1772" s="870"/>
      <c r="N1772" s="870"/>
      <c r="O1772" s="870"/>
      <c r="P1772" s="870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73"/>
      <c r="E1773" s="677"/>
      <c r="F1773" s="677"/>
      <c r="G1773" s="677"/>
      <c r="H1773" s="872"/>
      <c r="I1773" s="871"/>
      <c r="J1773" s="871"/>
      <c r="K1773" s="870"/>
      <c r="L1773" s="870"/>
      <c r="M1773" s="870"/>
      <c r="N1773" s="870"/>
      <c r="O1773" s="870"/>
      <c r="P1773" s="870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73"/>
      <c r="E1774" s="677"/>
      <c r="F1774" s="677"/>
      <c r="G1774" s="677"/>
      <c r="H1774" s="872"/>
      <c r="I1774" s="871"/>
      <c r="J1774" s="871"/>
      <c r="K1774" s="870"/>
      <c r="L1774" s="870"/>
      <c r="M1774" s="870"/>
      <c r="N1774" s="870"/>
      <c r="O1774" s="870"/>
      <c r="P1774" s="870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73"/>
      <c r="E1775" s="677"/>
      <c r="F1775" s="677"/>
      <c r="G1775" s="677"/>
      <c r="H1775" s="872"/>
      <c r="I1775" s="871"/>
      <c r="J1775" s="871"/>
      <c r="K1775" s="870"/>
      <c r="L1775" s="870"/>
      <c r="M1775" s="870"/>
      <c r="N1775" s="870"/>
      <c r="O1775" s="870"/>
      <c r="P1775" s="870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73"/>
      <c r="E1776" s="677"/>
      <c r="F1776" s="677"/>
      <c r="G1776" s="677"/>
      <c r="H1776" s="872"/>
      <c r="I1776" s="871"/>
      <c r="J1776" s="871"/>
      <c r="K1776" s="870"/>
      <c r="L1776" s="870"/>
      <c r="M1776" s="870"/>
      <c r="N1776" s="870"/>
      <c r="O1776" s="870"/>
      <c r="P1776" s="870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73"/>
      <c r="E1777" s="677"/>
      <c r="F1777" s="677"/>
      <c r="G1777" s="677"/>
      <c r="H1777" s="872"/>
      <c r="I1777" s="871"/>
      <c r="J1777" s="871"/>
      <c r="K1777" s="870"/>
      <c r="L1777" s="870"/>
      <c r="M1777" s="870"/>
      <c r="N1777" s="870"/>
      <c r="O1777" s="870"/>
      <c r="P1777" s="870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73"/>
      <c r="E1778" s="677"/>
      <c r="F1778" s="677"/>
      <c r="G1778" s="677"/>
      <c r="H1778" s="872"/>
      <c r="I1778" s="871"/>
      <c r="J1778" s="871"/>
      <c r="K1778" s="870"/>
      <c r="L1778" s="870"/>
      <c r="M1778" s="870"/>
      <c r="N1778" s="870"/>
      <c r="O1778" s="870"/>
      <c r="P1778" s="870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73"/>
      <c r="E1779" s="677"/>
      <c r="F1779" s="677"/>
      <c r="G1779" s="677"/>
      <c r="H1779" s="872"/>
      <c r="I1779" s="871"/>
      <c r="J1779" s="871"/>
      <c r="K1779" s="870"/>
      <c r="L1779" s="870"/>
      <c r="M1779" s="870"/>
      <c r="N1779" s="870"/>
      <c r="O1779" s="870"/>
      <c r="P1779" s="870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73"/>
      <c r="E1780" s="677"/>
      <c r="F1780" s="677"/>
      <c r="G1780" s="677"/>
      <c r="H1780" s="872"/>
      <c r="I1780" s="871"/>
      <c r="J1780" s="871"/>
      <c r="K1780" s="870"/>
      <c r="L1780" s="870"/>
      <c r="M1780" s="870"/>
      <c r="N1780" s="870"/>
      <c r="O1780" s="870"/>
      <c r="P1780" s="870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73"/>
      <c r="E1781" s="677"/>
      <c r="F1781" s="677"/>
      <c r="G1781" s="677"/>
      <c r="H1781" s="872"/>
      <c r="I1781" s="871"/>
      <c r="J1781" s="871"/>
      <c r="K1781" s="870"/>
      <c r="L1781" s="870"/>
      <c r="M1781" s="870"/>
      <c r="N1781" s="870"/>
      <c r="O1781" s="870"/>
      <c r="P1781" s="870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73"/>
      <c r="E1782" s="677"/>
      <c r="F1782" s="677"/>
      <c r="G1782" s="677"/>
      <c r="H1782" s="872"/>
      <c r="I1782" s="871"/>
      <c r="J1782" s="871"/>
      <c r="K1782" s="870"/>
      <c r="L1782" s="870"/>
      <c r="M1782" s="870"/>
      <c r="N1782" s="870"/>
      <c r="O1782" s="870"/>
      <c r="P1782" s="870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73"/>
      <c r="E1783" s="677"/>
      <c r="F1783" s="677"/>
      <c r="G1783" s="677"/>
      <c r="H1783" s="872"/>
      <c r="I1783" s="871"/>
      <c r="J1783" s="871"/>
      <c r="K1783" s="870"/>
      <c r="L1783" s="870"/>
      <c r="M1783" s="870"/>
      <c r="N1783" s="870"/>
      <c r="O1783" s="870"/>
      <c r="P1783" s="870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73"/>
      <c r="E1784" s="677"/>
      <c r="F1784" s="677"/>
      <c r="G1784" s="677"/>
      <c r="H1784" s="872"/>
      <c r="I1784" s="871"/>
      <c r="J1784" s="871"/>
      <c r="K1784" s="870"/>
      <c r="L1784" s="870"/>
      <c r="M1784" s="870"/>
      <c r="N1784" s="870"/>
      <c r="O1784" s="870"/>
      <c r="P1784" s="870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73"/>
      <c r="E1785" s="677"/>
      <c r="F1785" s="677"/>
      <c r="G1785" s="677"/>
      <c r="H1785" s="872"/>
      <c r="I1785" s="871"/>
      <c r="J1785" s="871"/>
      <c r="K1785" s="870"/>
      <c r="L1785" s="870"/>
      <c r="M1785" s="870"/>
      <c r="N1785" s="870"/>
      <c r="O1785" s="870"/>
      <c r="P1785" s="870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73"/>
      <c r="E1786" s="677"/>
      <c r="F1786" s="677"/>
      <c r="G1786" s="677"/>
      <c r="H1786" s="872"/>
      <c r="I1786" s="871"/>
      <c r="J1786" s="871"/>
      <c r="K1786" s="870"/>
      <c r="L1786" s="870"/>
      <c r="M1786" s="870"/>
      <c r="N1786" s="870"/>
      <c r="O1786" s="870"/>
      <c r="P1786" s="870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73"/>
      <c r="E1787" s="677"/>
      <c r="F1787" s="677"/>
      <c r="G1787" s="677"/>
      <c r="H1787" s="872"/>
      <c r="I1787" s="871"/>
      <c r="J1787" s="871"/>
      <c r="K1787" s="870"/>
      <c r="L1787" s="870"/>
      <c r="M1787" s="870"/>
      <c r="N1787" s="870"/>
      <c r="O1787" s="870"/>
      <c r="P1787" s="870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73"/>
      <c r="E1788" s="677"/>
      <c r="F1788" s="677"/>
      <c r="G1788" s="677"/>
      <c r="H1788" s="872"/>
      <c r="I1788" s="871"/>
      <c r="J1788" s="871"/>
      <c r="K1788" s="870"/>
      <c r="L1788" s="870"/>
      <c r="M1788" s="870"/>
      <c r="N1788" s="870"/>
      <c r="O1788" s="870"/>
      <c r="P1788" s="870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73"/>
      <c r="E1789" s="677"/>
      <c r="F1789" s="677"/>
      <c r="G1789" s="677"/>
      <c r="H1789" s="872"/>
      <c r="I1789" s="871"/>
      <c r="J1789" s="871"/>
      <c r="K1789" s="870"/>
      <c r="L1789" s="870"/>
      <c r="M1789" s="870"/>
      <c r="N1789" s="870"/>
      <c r="O1789" s="870"/>
      <c r="P1789" s="870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73"/>
      <c r="E1790" s="677"/>
      <c r="F1790" s="677"/>
      <c r="G1790" s="677"/>
      <c r="H1790" s="872"/>
      <c r="I1790" s="871"/>
      <c r="J1790" s="871"/>
      <c r="K1790" s="870"/>
      <c r="L1790" s="870"/>
      <c r="M1790" s="870"/>
      <c r="N1790" s="870"/>
      <c r="O1790" s="870"/>
      <c r="P1790" s="870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73"/>
      <c r="E1791" s="677"/>
      <c r="F1791" s="677"/>
      <c r="G1791" s="677"/>
      <c r="H1791" s="872"/>
      <c r="I1791" s="871"/>
      <c r="J1791" s="871"/>
      <c r="K1791" s="870"/>
      <c r="L1791" s="870"/>
      <c r="M1791" s="870"/>
      <c r="N1791" s="870"/>
      <c r="O1791" s="870"/>
      <c r="P1791" s="870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73"/>
      <c r="E1792" s="677"/>
      <c r="F1792" s="677"/>
      <c r="G1792" s="677"/>
      <c r="H1792" s="872"/>
      <c r="I1792" s="871"/>
      <c r="J1792" s="871"/>
      <c r="K1792" s="870"/>
      <c r="L1792" s="870"/>
      <c r="M1792" s="870"/>
      <c r="N1792" s="870"/>
      <c r="O1792" s="870"/>
      <c r="P1792" s="870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73"/>
      <c r="E1793" s="677"/>
      <c r="F1793" s="677"/>
      <c r="G1793" s="677"/>
      <c r="H1793" s="872"/>
      <c r="I1793" s="871"/>
      <c r="J1793" s="871"/>
      <c r="K1793" s="870"/>
      <c r="L1793" s="870"/>
      <c r="M1793" s="870"/>
      <c r="N1793" s="870"/>
      <c r="O1793" s="870"/>
      <c r="P1793" s="870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73"/>
      <c r="E1794" s="677"/>
      <c r="F1794" s="677"/>
      <c r="G1794" s="677"/>
      <c r="H1794" s="872"/>
      <c r="I1794" s="871"/>
      <c r="J1794" s="871"/>
      <c r="K1794" s="870"/>
      <c r="L1794" s="870"/>
      <c r="M1794" s="870"/>
      <c r="N1794" s="870"/>
      <c r="O1794" s="870"/>
      <c r="P1794" s="870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73"/>
      <c r="E1795" s="677"/>
      <c r="F1795" s="677"/>
      <c r="G1795" s="677"/>
      <c r="H1795" s="872"/>
      <c r="I1795" s="871"/>
      <c r="J1795" s="871"/>
      <c r="K1795" s="870"/>
      <c r="L1795" s="870"/>
      <c r="M1795" s="870"/>
      <c r="N1795" s="870"/>
      <c r="O1795" s="870"/>
      <c r="P1795" s="870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73"/>
      <c r="E1796" s="677"/>
      <c r="F1796" s="677"/>
      <c r="G1796" s="677"/>
      <c r="H1796" s="872"/>
      <c r="I1796" s="871"/>
      <c r="J1796" s="871"/>
      <c r="K1796" s="870"/>
      <c r="L1796" s="870"/>
      <c r="M1796" s="870"/>
      <c r="N1796" s="870"/>
      <c r="O1796" s="870"/>
      <c r="P1796" s="870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73"/>
      <c r="E1797" s="677"/>
      <c r="F1797" s="677"/>
      <c r="G1797" s="677"/>
      <c r="H1797" s="872"/>
      <c r="I1797" s="871"/>
      <c r="J1797" s="871"/>
      <c r="K1797" s="870"/>
      <c r="L1797" s="870"/>
      <c r="M1797" s="870"/>
      <c r="N1797" s="870"/>
      <c r="O1797" s="870"/>
      <c r="P1797" s="870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73"/>
      <c r="E1798" s="677"/>
      <c r="F1798" s="677"/>
      <c r="G1798" s="677"/>
      <c r="H1798" s="872"/>
      <c r="I1798" s="871"/>
      <c r="J1798" s="871"/>
      <c r="K1798" s="870"/>
      <c r="L1798" s="870"/>
      <c r="M1798" s="870"/>
      <c r="N1798" s="870"/>
      <c r="O1798" s="870"/>
      <c r="P1798" s="870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73"/>
      <c r="E1799" s="677"/>
      <c r="F1799" s="677"/>
      <c r="G1799" s="677"/>
      <c r="H1799" s="872"/>
      <c r="I1799" s="871"/>
      <c r="J1799" s="871"/>
      <c r="K1799" s="870"/>
      <c r="L1799" s="870"/>
      <c r="M1799" s="870"/>
      <c r="N1799" s="870"/>
      <c r="O1799" s="870"/>
      <c r="P1799" s="870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73"/>
      <c r="E1800" s="677"/>
      <c r="F1800" s="677"/>
      <c r="G1800" s="677"/>
      <c r="H1800" s="872"/>
      <c r="I1800" s="871"/>
      <c r="J1800" s="871"/>
      <c r="K1800" s="870"/>
      <c r="L1800" s="870"/>
      <c r="M1800" s="870"/>
      <c r="N1800" s="870"/>
      <c r="O1800" s="870"/>
      <c r="P1800" s="870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73"/>
      <c r="E1801" s="677"/>
      <c r="F1801" s="677"/>
      <c r="G1801" s="677"/>
      <c r="H1801" s="872"/>
      <c r="I1801" s="871"/>
      <c r="J1801" s="871"/>
      <c r="K1801" s="870"/>
      <c r="L1801" s="870"/>
      <c r="M1801" s="870"/>
      <c r="N1801" s="870"/>
      <c r="O1801" s="870"/>
      <c r="P1801" s="870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73"/>
      <c r="E1802" s="677"/>
      <c r="F1802" s="677"/>
      <c r="G1802" s="677"/>
      <c r="H1802" s="872"/>
      <c r="I1802" s="871"/>
      <c r="J1802" s="871"/>
      <c r="K1802" s="870"/>
      <c r="L1802" s="870"/>
      <c r="M1802" s="870"/>
      <c r="N1802" s="870"/>
      <c r="O1802" s="870"/>
      <c r="P1802" s="870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73"/>
      <c r="E1803" s="677"/>
      <c r="F1803" s="677"/>
      <c r="G1803" s="677"/>
      <c r="H1803" s="872"/>
      <c r="I1803" s="871"/>
      <c r="J1803" s="871"/>
      <c r="K1803" s="870"/>
      <c r="L1803" s="870"/>
      <c r="M1803" s="870"/>
      <c r="N1803" s="870"/>
      <c r="O1803" s="870"/>
      <c r="P1803" s="870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73"/>
      <c r="E1804" s="677"/>
      <c r="F1804" s="677"/>
      <c r="G1804" s="677"/>
      <c r="H1804" s="872"/>
      <c r="I1804" s="871"/>
      <c r="J1804" s="871"/>
      <c r="K1804" s="870"/>
      <c r="L1804" s="870"/>
      <c r="M1804" s="870"/>
      <c r="N1804" s="870"/>
      <c r="O1804" s="870"/>
      <c r="P1804" s="870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73"/>
      <c r="E1805" s="677"/>
      <c r="F1805" s="677"/>
      <c r="G1805" s="677"/>
      <c r="H1805" s="872"/>
      <c r="I1805" s="871"/>
      <c r="J1805" s="871"/>
      <c r="K1805" s="870"/>
      <c r="L1805" s="870"/>
      <c r="M1805" s="870"/>
      <c r="N1805" s="870"/>
      <c r="O1805" s="870"/>
      <c r="P1805" s="870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73"/>
      <c r="E1806" s="677"/>
      <c r="F1806" s="677"/>
      <c r="G1806" s="677"/>
      <c r="H1806" s="872"/>
      <c r="I1806" s="871"/>
      <c r="J1806" s="871"/>
      <c r="K1806" s="870"/>
      <c r="L1806" s="870"/>
      <c r="M1806" s="870"/>
      <c r="N1806" s="870"/>
      <c r="O1806" s="870"/>
      <c r="P1806" s="870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73"/>
      <c r="E1807" s="677"/>
      <c r="F1807" s="677"/>
      <c r="G1807" s="677"/>
      <c r="H1807" s="872"/>
      <c r="I1807" s="871"/>
      <c r="J1807" s="871"/>
      <c r="K1807" s="870"/>
      <c r="L1807" s="870"/>
      <c r="M1807" s="870"/>
      <c r="N1807" s="870"/>
      <c r="O1807" s="870"/>
      <c r="P1807" s="870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73"/>
      <c r="E1808" s="677"/>
      <c r="F1808" s="677"/>
      <c r="G1808" s="677"/>
      <c r="H1808" s="872"/>
      <c r="I1808" s="871"/>
      <c r="J1808" s="871"/>
      <c r="K1808" s="870"/>
      <c r="L1808" s="870"/>
      <c r="M1808" s="870"/>
      <c r="N1808" s="870"/>
      <c r="O1808" s="870"/>
      <c r="P1808" s="870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73"/>
      <c r="E1809" s="677"/>
      <c r="F1809" s="677"/>
      <c r="G1809" s="677"/>
      <c r="H1809" s="872"/>
      <c r="I1809" s="871"/>
      <c r="J1809" s="871"/>
      <c r="K1809" s="870"/>
      <c r="L1809" s="870"/>
      <c r="M1809" s="870"/>
      <c r="N1809" s="870"/>
      <c r="O1809" s="870"/>
      <c r="P1809" s="870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73"/>
      <c r="E1810" s="677"/>
      <c r="F1810" s="677"/>
      <c r="G1810" s="677"/>
      <c r="H1810" s="872"/>
      <c r="I1810" s="871"/>
      <c r="J1810" s="871"/>
      <c r="K1810" s="870"/>
      <c r="L1810" s="870"/>
      <c r="M1810" s="870"/>
      <c r="N1810" s="870"/>
      <c r="O1810" s="870"/>
      <c r="P1810" s="870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73"/>
      <c r="E1811" s="677"/>
      <c r="F1811" s="677"/>
      <c r="G1811" s="677"/>
      <c r="H1811" s="872"/>
      <c r="I1811" s="871"/>
      <c r="J1811" s="871"/>
      <c r="K1811" s="870"/>
      <c r="L1811" s="870"/>
      <c r="M1811" s="870"/>
      <c r="N1811" s="870"/>
      <c r="O1811" s="870"/>
      <c r="P1811" s="870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73"/>
      <c r="E1812" s="677"/>
      <c r="F1812" s="677"/>
      <c r="G1812" s="677"/>
      <c r="H1812" s="872"/>
      <c r="I1812" s="871"/>
      <c r="J1812" s="871"/>
      <c r="K1812" s="870"/>
      <c r="L1812" s="870"/>
      <c r="M1812" s="870"/>
      <c r="N1812" s="870"/>
      <c r="O1812" s="870"/>
      <c r="P1812" s="870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73"/>
      <c r="E1813" s="677"/>
      <c r="F1813" s="677"/>
      <c r="G1813" s="677"/>
      <c r="H1813" s="872"/>
      <c r="I1813" s="871"/>
      <c r="J1813" s="871"/>
      <c r="K1813" s="870"/>
      <c r="L1813" s="870"/>
      <c r="M1813" s="870"/>
      <c r="N1813" s="870"/>
      <c r="O1813" s="870"/>
      <c r="P1813" s="870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73"/>
      <c r="E1814" s="677"/>
      <c r="F1814" s="677"/>
      <c r="G1814" s="677"/>
      <c r="H1814" s="872"/>
      <c r="I1814" s="871"/>
      <c r="J1814" s="871"/>
      <c r="K1814" s="870"/>
      <c r="L1814" s="870"/>
      <c r="M1814" s="870"/>
      <c r="N1814" s="870"/>
      <c r="O1814" s="870"/>
      <c r="P1814" s="870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73"/>
      <c r="E1815" s="677"/>
      <c r="F1815" s="677"/>
      <c r="G1815" s="677"/>
      <c r="H1815" s="872"/>
      <c r="I1815" s="871"/>
      <c r="J1815" s="871"/>
      <c r="K1815" s="870"/>
      <c r="L1815" s="870"/>
      <c r="M1815" s="870"/>
      <c r="N1815" s="870"/>
      <c r="O1815" s="870"/>
      <c r="P1815" s="870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73"/>
      <c r="E1816" s="677"/>
      <c r="F1816" s="677"/>
      <c r="G1816" s="677"/>
      <c r="H1816" s="872"/>
      <c r="I1816" s="871"/>
      <c r="J1816" s="871"/>
      <c r="K1816" s="870"/>
      <c r="L1816" s="870"/>
      <c r="M1816" s="870"/>
      <c r="N1816" s="870"/>
      <c r="O1816" s="870"/>
      <c r="P1816" s="870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73"/>
      <c r="E1817" s="677"/>
      <c r="F1817" s="677"/>
      <c r="G1817" s="677"/>
      <c r="H1817" s="872"/>
      <c r="I1817" s="871"/>
      <c r="J1817" s="871"/>
      <c r="K1817" s="870"/>
      <c r="L1817" s="870"/>
      <c r="M1817" s="870"/>
      <c r="N1817" s="870"/>
      <c r="O1817" s="870"/>
      <c r="P1817" s="870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73"/>
      <c r="E1818" s="677"/>
      <c r="F1818" s="677"/>
      <c r="G1818" s="677"/>
      <c r="H1818" s="872"/>
      <c r="I1818" s="871"/>
      <c r="J1818" s="871"/>
      <c r="K1818" s="870"/>
      <c r="L1818" s="870"/>
      <c r="M1818" s="870"/>
      <c r="N1818" s="870"/>
      <c r="O1818" s="870"/>
      <c r="P1818" s="870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73"/>
      <c r="E1819" s="677"/>
      <c r="F1819" s="677"/>
      <c r="G1819" s="677"/>
      <c r="H1819" s="872"/>
      <c r="I1819" s="871"/>
      <c r="J1819" s="871"/>
      <c r="K1819" s="870"/>
      <c r="L1819" s="870"/>
      <c r="M1819" s="870"/>
      <c r="N1819" s="870"/>
      <c r="O1819" s="870"/>
      <c r="P1819" s="870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73"/>
      <c r="E1820" s="677"/>
      <c r="F1820" s="677"/>
      <c r="G1820" s="677"/>
      <c r="H1820" s="872"/>
      <c r="I1820" s="871"/>
      <c r="J1820" s="871"/>
      <c r="K1820" s="870"/>
      <c r="L1820" s="870"/>
      <c r="M1820" s="870"/>
      <c r="N1820" s="870"/>
      <c r="O1820" s="870"/>
      <c r="P1820" s="870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73"/>
      <c r="E1821" s="677"/>
      <c r="F1821" s="677"/>
      <c r="G1821" s="677"/>
      <c r="H1821" s="872"/>
      <c r="I1821" s="871"/>
      <c r="J1821" s="871"/>
      <c r="K1821" s="870"/>
      <c r="L1821" s="870"/>
      <c r="M1821" s="870"/>
      <c r="N1821" s="870"/>
      <c r="O1821" s="870"/>
      <c r="P1821" s="870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73"/>
      <c r="E1822" s="677"/>
      <c r="F1822" s="677"/>
      <c r="G1822" s="677"/>
      <c r="H1822" s="872"/>
      <c r="I1822" s="871"/>
      <c r="J1822" s="871"/>
      <c r="K1822" s="870"/>
      <c r="L1822" s="870"/>
      <c r="M1822" s="870"/>
      <c r="N1822" s="870"/>
      <c r="O1822" s="870"/>
      <c r="P1822" s="870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73"/>
      <c r="E1823" s="677"/>
      <c r="F1823" s="677"/>
      <c r="G1823" s="677"/>
      <c r="H1823" s="872"/>
      <c r="I1823" s="871"/>
      <c r="J1823" s="871"/>
      <c r="K1823" s="870"/>
      <c r="L1823" s="870"/>
      <c r="M1823" s="870"/>
      <c r="N1823" s="870"/>
      <c r="O1823" s="870"/>
      <c r="P1823" s="870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73"/>
      <c r="E1824" s="677"/>
      <c r="F1824" s="677"/>
      <c r="G1824" s="677"/>
      <c r="H1824" s="872"/>
      <c r="I1824" s="871"/>
      <c r="J1824" s="871"/>
      <c r="K1824" s="870"/>
      <c r="L1824" s="870"/>
      <c r="M1824" s="870"/>
      <c r="N1824" s="870"/>
      <c r="O1824" s="870"/>
      <c r="P1824" s="870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73"/>
      <c r="E1825" s="677"/>
      <c r="F1825" s="677"/>
      <c r="G1825" s="677"/>
      <c r="H1825" s="872"/>
      <c r="I1825" s="871"/>
      <c r="J1825" s="871"/>
      <c r="K1825" s="870"/>
      <c r="L1825" s="870"/>
      <c r="M1825" s="870"/>
      <c r="N1825" s="870"/>
      <c r="O1825" s="870"/>
      <c r="P1825" s="870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73"/>
      <c r="E1826" s="677"/>
      <c r="F1826" s="677"/>
      <c r="G1826" s="677"/>
      <c r="H1826" s="872"/>
      <c r="I1826" s="871"/>
      <c r="J1826" s="871"/>
      <c r="K1826" s="870"/>
      <c r="L1826" s="870"/>
      <c r="M1826" s="870"/>
      <c r="N1826" s="870"/>
      <c r="O1826" s="870"/>
      <c r="P1826" s="870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73"/>
      <c r="E1827" s="677"/>
      <c r="F1827" s="677"/>
      <c r="G1827" s="677"/>
      <c r="H1827" s="872"/>
      <c r="I1827" s="871"/>
      <c r="J1827" s="871"/>
      <c r="K1827" s="870"/>
      <c r="L1827" s="870"/>
      <c r="M1827" s="870"/>
      <c r="N1827" s="870"/>
      <c r="O1827" s="870"/>
      <c r="P1827" s="870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73"/>
      <c r="E1828" s="677"/>
      <c r="F1828" s="677"/>
      <c r="G1828" s="677"/>
      <c r="H1828" s="872"/>
      <c r="I1828" s="871"/>
      <c r="J1828" s="871"/>
      <c r="K1828" s="870"/>
      <c r="L1828" s="870"/>
      <c r="M1828" s="870"/>
      <c r="N1828" s="870"/>
      <c r="O1828" s="870"/>
      <c r="P1828" s="870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61BD9-3A92-4187-9DC9-B6C139C45A55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343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3729693</v>
      </c>
      <c r="M8" s="21">
        <f ca="1">M9+M10</f>
        <v>3930001.49</v>
      </c>
      <c r="N8" s="21">
        <f ca="1">N9+N10</f>
        <v>3930001.49</v>
      </c>
      <c r="O8" s="21">
        <f t="shared" ref="O8:O16" ca="1" si="0">IF(L8&gt;0,N8*100/L8,0)</f>
        <v>105.370642838432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3729693</v>
      </c>
      <c r="M10" s="29">
        <f t="shared" ca="1" si="2"/>
        <v>3930001.49</v>
      </c>
      <c r="N10" s="29">
        <f t="shared" ca="1" si="2"/>
        <v>3930001.49</v>
      </c>
      <c r="O10" s="29">
        <f t="shared" ca="1" si="0"/>
        <v>105.370642838432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2928693</v>
      </c>
      <c r="M11" s="497">
        <f ca="1">M12+M13</f>
        <v>3185501.49</v>
      </c>
      <c r="N11" s="497">
        <f ca="1">N12+N13</f>
        <v>3185501.49</v>
      </c>
      <c r="O11" s="497">
        <f t="shared" ca="1" si="0"/>
        <v>108.76870638199361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2928693</v>
      </c>
      <c r="M13" s="92">
        <f t="shared" ca="1" si="3"/>
        <v>3185501.49</v>
      </c>
      <c r="N13" s="92">
        <f t="shared" ca="1" si="3"/>
        <v>3185501.49</v>
      </c>
      <c r="O13" s="92">
        <f t="shared" ca="1" si="0"/>
        <v>108.76870638199361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801000</v>
      </c>
      <c r="M14" s="497">
        <f ca="1">M15+M16</f>
        <v>744500</v>
      </c>
      <c r="N14" s="497">
        <f ca="1">N15+N16</f>
        <v>744500</v>
      </c>
      <c r="O14" s="497">
        <f t="shared" ca="1" si="0"/>
        <v>92.946317103620473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801000</v>
      </c>
      <c r="M16" s="51">
        <f t="shared" ca="1" si="4"/>
        <v>744500</v>
      </c>
      <c r="N16" s="51">
        <f t="shared" ca="1" si="4"/>
        <v>744500</v>
      </c>
      <c r="O16" s="51">
        <f t="shared" ca="1" si="0"/>
        <v>92.946317103620473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2890420</v>
      </c>
      <c r="M18" s="21">
        <f ca="1">M19+M20</f>
        <v>3207575.49</v>
      </c>
      <c r="N18" s="21">
        <f ca="1">N19+N20</f>
        <v>3207575.49</v>
      </c>
      <c r="O18" s="21">
        <f t="shared" ref="O18:O26" ca="1" si="5">IF(L18&gt;0,N18*100/L18,0)</f>
        <v>110.97264376803371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2890420</v>
      </c>
      <c r="M20" s="29">
        <f t="shared" ca="1" si="7"/>
        <v>3207575.49</v>
      </c>
      <c r="N20" s="29">
        <f t="shared" ca="1" si="7"/>
        <v>3207575.49</v>
      </c>
      <c r="O20" s="29">
        <f t="shared" ca="1" si="5"/>
        <v>110.97264376803371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2089420</v>
      </c>
      <c r="M21" s="497">
        <f ca="1">M22+M23</f>
        <v>2463075.4900000002</v>
      </c>
      <c r="N21" s="497">
        <f ca="1">N22+N23</f>
        <v>2463075.4900000002</v>
      </c>
      <c r="O21" s="497">
        <f t="shared" ca="1" si="5"/>
        <v>117.88321591637872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2089420</v>
      </c>
      <c r="M23" s="92">
        <f t="shared" ca="1" si="8"/>
        <v>2463075.4900000002</v>
      </c>
      <c r="N23" s="92">
        <f t="shared" ca="1" si="8"/>
        <v>2463075.4900000002</v>
      </c>
      <c r="O23" s="92">
        <f t="shared" ca="1" si="5"/>
        <v>117.88321591637872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801000</v>
      </c>
      <c r="M24" s="497">
        <f ca="1">M25+M26</f>
        <v>744500</v>
      </c>
      <c r="N24" s="497">
        <f ca="1">N25+N26</f>
        <v>744500</v>
      </c>
      <c r="O24" s="497">
        <f t="shared" ca="1" si="5"/>
        <v>92.946317103620473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801000</v>
      </c>
      <c r="M26" s="51">
        <f t="shared" ca="1" si="9"/>
        <v>744500</v>
      </c>
      <c r="N26" s="51">
        <f t="shared" ca="1" si="9"/>
        <v>744500</v>
      </c>
      <c r="O26" s="51">
        <f t="shared" ca="1" si="5"/>
        <v>92.946317103620473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839273</v>
      </c>
      <c r="M28" s="21">
        <f ca="1">M29+M30</f>
        <v>722426</v>
      </c>
      <c r="N28" s="21">
        <f>N29+N30</f>
        <v>722426</v>
      </c>
      <c r="O28" s="21">
        <f t="shared" ref="O28:O37" ca="1" si="10">IF(L28&gt;0,N28*100/L28,0)</f>
        <v>86.077593345669413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839273</v>
      </c>
      <c r="M30" s="29">
        <f t="shared" ca="1" si="12"/>
        <v>722426</v>
      </c>
      <c r="N30" s="29">
        <f t="shared" si="12"/>
        <v>722426</v>
      </c>
      <c r="O30" s="29">
        <f t="shared" ca="1" si="10"/>
        <v>86.077593345669413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839273</v>
      </c>
      <c r="M31" s="497">
        <f ca="1">M32+M33</f>
        <v>722426</v>
      </c>
      <c r="N31" s="497">
        <f>N32+N33</f>
        <v>722426</v>
      </c>
      <c r="O31" s="497">
        <f t="shared" ca="1" si="10"/>
        <v>86.077593345669413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839273</v>
      </c>
      <c r="M33" s="92">
        <f t="shared" ca="1" si="13"/>
        <v>722426</v>
      </c>
      <c r="N33" s="92">
        <f t="shared" si="13"/>
        <v>722426</v>
      </c>
      <c r="O33" s="92">
        <f t="shared" ca="1" si="10"/>
        <v>86.077593345669413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2890420</v>
      </c>
      <c r="M37" s="58">
        <f ca="1">M41+M53+M66+M88+M119+M132+M149+M165+M181+M261+M277+M298+M315+M328+M345+M389+M402</f>
        <v>3207575.49</v>
      </c>
      <c r="N37" s="58">
        <f ca="1">N41+N53+N66+N88+N119+N132+N149+N165+N181+N261+N277+N298+N315+N328+N345+N389+N402</f>
        <v>3207575.49</v>
      </c>
      <c r="O37" s="58">
        <f t="shared" ca="1" si="10"/>
        <v>110.97264376803371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278050</v>
      </c>
      <c r="M41" s="84">
        <f ca="1">M42+M43</f>
        <v>313279</v>
      </c>
      <c r="N41" s="84">
        <f ca="1">N42+N43</f>
        <v>313279</v>
      </c>
      <c r="O41" s="84">
        <f t="shared" ref="O41:O49" ca="1" si="15">IF(L41&gt;0,N41*100/L41,0)</f>
        <v>112.67002337709044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278050</v>
      </c>
      <c r="M43" s="91">
        <f t="shared" ca="1" si="17"/>
        <v>313279</v>
      </c>
      <c r="N43" s="91">
        <f t="shared" ca="1" si="17"/>
        <v>313279</v>
      </c>
      <c r="O43" s="91">
        <f t="shared" ca="1" si="15"/>
        <v>112.67002337709044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278050</v>
      </c>
      <c r="M44" s="497">
        <f ca="1">M45+M46</f>
        <v>313279</v>
      </c>
      <c r="N44" s="497">
        <f ca="1">N45+N46</f>
        <v>313279</v>
      </c>
      <c r="O44" s="497">
        <f t="shared" ca="1" si="15"/>
        <v>112.67002337709044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IFERROR(__xludf.DUMMYFUNCTION("IMPORTRANGE(""https://docs.google.com/spreadsheets/d/1MeEWN-I1oV_STSDYn1IFDPWt_1FKiwhDph83XaGc0o0/edit?usp=sharing"",""งบพรบ!M58"")"),278050)</f>
        <v>278050</v>
      </c>
      <c r="M46" s="92">
        <f ca="1">IFERROR(__xludf.DUMMYFUNCTION("IMPORTRANGE(""https://docs.google.com/spreadsheets/d/1MeEWN-I1oV_STSDYn1IFDPWt_1FKiwhDph83XaGc0o0/edit?usp=sharing"",""งบพรบ!R58"")"),313279)</f>
        <v>313279</v>
      </c>
      <c r="N46" s="92">
        <f ca="1">IFERROR(__xludf.DUMMYFUNCTION("IMPORTRANGE(""https://docs.google.com/spreadsheets/d/1MeEWN-I1oV_STSDYn1IFDPWt_1FKiwhDph83XaGc0o0/edit?usp=sharing"",""งบพรบ!T58"")"),313279)</f>
        <v>313279</v>
      </c>
      <c r="O46" s="92">
        <f t="shared" ca="1" si="15"/>
        <v>112.67002337709044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IFERROR(__xludf.DUMMYFUNCTION("IMPORTRANGE(""https://docs.google.com/spreadsheets/d/1MeEWN-I1oV_STSDYn1IFDPWt_1FKiwhDph83XaGc0o0/edit?usp=sharing"",""งบพรบ!P58"")"),0)</f>
        <v>0</v>
      </c>
      <c r="M49" s="51">
        <f ca="1">IFERROR(__xludf.DUMMYFUNCTION("IMPORTRANGE(""https://docs.google.com/spreadsheets/d/1MeEWN-I1oV_STSDYn1IFDPWt_1FKiwhDph83XaGc0o0/edit?usp=sharing"",""งบพรบ!S58"")"),0)</f>
        <v>0</v>
      </c>
      <c r="N49" s="51">
        <f ca="1">IFERROR(__xludf.DUMMYFUNCTION("IMPORTRANGE(""https://docs.google.com/spreadsheets/d/1MeEWN-I1oV_STSDYn1IFDPWt_1FKiwhDph83XaGc0o0/edit?usp=sharing"",""งบพรบ!U58"")"),0)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1417900</v>
      </c>
      <c r="M53" s="115">
        <f ca="1">M54+M55</f>
        <v>1461326.49</v>
      </c>
      <c r="N53" s="115">
        <f ca="1">N54+N55</f>
        <v>1461326.49</v>
      </c>
      <c r="O53" s="115">
        <f t="shared" ref="O53:O61" ca="1" si="18">IF(L53&gt;0,N53*100/L53,0)</f>
        <v>103.0627329148741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1417900</v>
      </c>
      <c r="M55" s="122">
        <f t="shared" ca="1" si="20"/>
        <v>1461326.49</v>
      </c>
      <c r="N55" s="122">
        <f t="shared" ca="1" si="20"/>
        <v>1461326.49</v>
      </c>
      <c r="O55" s="122">
        <f t="shared" ca="1" si="18"/>
        <v>103.0627329148741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632900</v>
      </c>
      <c r="M56" s="497">
        <f ca="1">M57+M58</f>
        <v>731326.49</v>
      </c>
      <c r="N56" s="497">
        <f ca="1">N57+N58</f>
        <v>731326.49</v>
      </c>
      <c r="O56" s="497">
        <f t="shared" ca="1" si="18"/>
        <v>115.5516653499763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IFERROR(__xludf.DUMMYFUNCTION("IMPORTRANGE(""https://docs.google.com/spreadsheets/d/1MeEWN-I1oV_STSDYn1IFDPWt_1FKiwhDph83XaGc0o0/edit?usp=sharing"",""งบพรบ!W58"")"),632900)</f>
        <v>632900</v>
      </c>
      <c r="M58" s="92">
        <f ca="1">IFERROR(__xludf.DUMMYFUNCTION("IMPORTRANGE(""https://docs.google.com/spreadsheets/d/1MeEWN-I1oV_STSDYn1IFDPWt_1FKiwhDph83XaGc0o0/edit?usp=sharing"",""งบพรบ!AB58"")"),731326.49)</f>
        <v>731326.49</v>
      </c>
      <c r="N58" s="92">
        <f ca="1">IFERROR(__xludf.DUMMYFUNCTION("IMPORTRANGE(""https://docs.google.com/spreadsheets/d/1MeEWN-I1oV_STSDYn1IFDPWt_1FKiwhDph83XaGc0o0/edit?usp=sharing"",""งบพรบ!AD58"")"),731326.49)</f>
        <v>731326.49</v>
      </c>
      <c r="O58" s="92">
        <f t="shared" ca="1" si="18"/>
        <v>115.5516653499763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785000</v>
      </c>
      <c r="M59" s="497">
        <f ca="1">M60+M61</f>
        <v>730000</v>
      </c>
      <c r="N59" s="497">
        <f ca="1">N60+N61</f>
        <v>730000</v>
      </c>
      <c r="O59" s="497">
        <f t="shared" ca="1" si="18"/>
        <v>92.99363057324841</v>
      </c>
      <c r="P59" s="497">
        <f t="shared" ca="1" si="19"/>
        <v>100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IFERROR(__xludf.DUMMYFUNCTION("IMPORTRANGE(""https://docs.google.com/spreadsheets/d/1MeEWN-I1oV_STSDYn1IFDPWt_1FKiwhDph83XaGc0o0/edit?usp=sharing"",""งบพรบ!Z58"")"),785000)</f>
        <v>785000</v>
      </c>
      <c r="M61" s="51">
        <f ca="1">IFERROR(__xludf.DUMMYFUNCTION("IMPORTRANGE(""https://docs.google.com/spreadsheets/d/1MeEWN-I1oV_STSDYn1IFDPWt_1FKiwhDph83XaGc0o0/edit?usp=sharing"",""งบพรบ!AC58"")"),730000)</f>
        <v>730000</v>
      </c>
      <c r="N61" s="51">
        <f ca="1">IFERROR(__xludf.DUMMYFUNCTION("IMPORTRANGE(""https://docs.google.com/spreadsheets/d/1MeEWN-I1oV_STSDYn1IFDPWt_1FKiwhDph83XaGc0o0/edit?usp=sharing"",""งบพรบ!AE58"")"),730000)</f>
        <v>730000</v>
      </c>
      <c r="O61" s="51">
        <f t="shared" ca="1" si="18"/>
        <v>92.99363057324841</v>
      </c>
      <c r="P61" s="51">
        <f t="shared" ca="1" si="19"/>
        <v>100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IFERROR(__xludf.DUMMYFUNCTION("IMPORTRANGE(""https://docs.google.com/spreadsheets/d/1MeEWN-I1oV_STSDYn1IFDPWt_1FKiwhDph83XaGc0o0/edit?usp=sharing"",""งบพรบ!AG58"")"),0)</f>
        <v>0</v>
      </c>
      <c r="M71" s="92">
        <f ca="1">IFERROR(__xludf.DUMMYFUNCTION("IMPORTRANGE(""https://docs.google.com/spreadsheets/d/1MeEWN-I1oV_STSDYn1IFDPWt_1FKiwhDph83XaGc0o0/edit?usp=sharing"",""งบพรบ!AL58"")"),0)</f>
        <v>0</v>
      </c>
      <c r="N71" s="92">
        <f ca="1">IFERROR(__xludf.DUMMYFUNCTION("IMPORTRANGE(""https://docs.google.com/spreadsheets/d/1MeEWN-I1oV_STSDYn1IFDPWt_1FKiwhDph83XaGc0o0/edit?usp=sharing"",""งบพรบ!AN58"")"),0)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IFERROR(__xludf.DUMMYFUNCTION("IMPORTRANGE(""https://docs.google.com/spreadsheets/d/1MeEWN-I1oV_STSDYn1IFDPWt_1FKiwhDph83XaGc0o0/edit?usp=sharing"",""งบพรบ!AJ58"")"),0)</f>
        <v>0</v>
      </c>
      <c r="M74" s="92">
        <f ca="1">IFERROR(__xludf.DUMMYFUNCTION("IMPORTRANGE(""https://docs.google.com/spreadsheets/d/1MeEWN-I1oV_STSDYn1IFDPWt_1FKiwhDph83XaGc0o0/edit?usp=sharing"",""งบพรบ!AM58"")"),0)</f>
        <v>0</v>
      </c>
      <c r="N74" s="92">
        <f ca="1">IFERROR(__xludf.DUMMYFUNCTION("IMPORTRANGE(""https://docs.google.com/spreadsheets/d/1MeEWN-I1oV_STSDYn1IFDPWt_1FKiwhDph83XaGc0o0/edit?usp=sharing"",""งบพรบ!AO58"")"),0)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IFERROR(__xludf.DUMMYFUNCTION("IMPORTRANGE(""https://docs.google.com/spreadsheets/d/1QqKyyYR6Q21VydFLVH3TRQUabQu_ym0Zz7PgGX0-kHA/edit?usp=sharing"",""แผน!H58"")"),0)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IFERROR(__xludf.DUMMYFUNCTION("IMPORTRANGE(""https://docs.google.com/spreadsheets/d/1QqKyyYR6Q21VydFLVH3TRQUabQu_ym0Zz7PgGX0-kHA/edit?usp=sharing"",""แผน!I58"")"),0)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IFERROR(__xludf.DUMMYFUNCTION("IMPORTRANGE(""https://docs.google.com/spreadsheets/d/1QqKyyYR6Q21VydFLVH3TRQUabQu_ym0Zz7PgGX0-kHA/edit?usp=sharing"",""แผน!F58"")"),0)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IFERROR(__xludf.DUMMYFUNCTION("IMPORTRANGE(""https://docs.google.com/spreadsheets/d/1QqKyyYR6Q21VydFLVH3TRQUabQu_ym0Zz7PgGX0-kHA/edit?usp=sharing"",""แผน!G58"")"),0)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IFERROR(__xludf.DUMMYFUNCTION("IMPORTRANGE(""https://docs.google.com/spreadsheets/d/1QqKyyYR6Q21VydFLVH3TRQUabQu_ym0Zz7PgGX0-kHA/edit?usp=sharing"",""แผน!D58"")"),0)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IFERROR(__xludf.DUMMYFUNCTION("IMPORTRANGE(""https://docs.google.com/spreadsheets/d/1QqKyyYR6Q21VydFLVH3TRQUabQu_ym0Zz7PgGX0-kHA/edit?usp=sharing"",""แผน!E58"")"),0)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IFERROR(__xludf.DUMMYFUNCTION("IMPORTRANGE(""https://docs.google.com/spreadsheets/d/1QqKyyYR6Q21VydFLVH3TRQUabQu_ym0Zz7PgGX0-kHA/edit?usp=sharing"",""แผน!J58"")"),0)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372140</v>
      </c>
      <c r="M88" s="154">
        <f ca="1">M89+M90</f>
        <v>372140</v>
      </c>
      <c r="N88" s="154">
        <f ca="1">N89+N90</f>
        <v>372140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372140</v>
      </c>
      <c r="M90" s="92">
        <f t="shared" ca="1" si="27"/>
        <v>372140</v>
      </c>
      <c r="N90" s="92">
        <f t="shared" ca="1" si="27"/>
        <v>372140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372140</v>
      </c>
      <c r="M91" s="497">
        <f ca="1">M92+M93</f>
        <v>372140</v>
      </c>
      <c r="N91" s="497">
        <f ca="1">N92+N93</f>
        <v>372140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IFERROR(__xludf.DUMMYFUNCTION("IMPORTRANGE(""https://docs.google.com/spreadsheets/d/1MeEWN-I1oV_STSDYn1IFDPWt_1FKiwhDph83XaGc0o0/edit?usp=sharing"",""งบพรบ!AQ58"")"),372140)</f>
        <v>372140</v>
      </c>
      <c r="M93" s="92">
        <f ca="1">IFERROR(__xludf.DUMMYFUNCTION("IMPORTRANGE(""https://docs.google.com/spreadsheets/d/1MeEWN-I1oV_STSDYn1IFDPWt_1FKiwhDph83XaGc0o0/edit?usp=sharing"",""งบพรบ!AV58"")"),372140)</f>
        <v>372140</v>
      </c>
      <c r="N93" s="92">
        <f ca="1">IFERROR(__xludf.DUMMYFUNCTION("IMPORTRANGE(""https://docs.google.com/spreadsheets/d/1MeEWN-I1oV_STSDYn1IFDPWt_1FKiwhDph83XaGc0o0/edit?usp=sharing"",""งบพรบ!AX58"")"),372140)</f>
        <v>372140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IFERROR(__xludf.DUMMYFUNCTION("IMPORTRANGE(""https://docs.google.com/spreadsheets/d/1MeEWN-I1oV_STSDYn1IFDPWt_1FKiwhDph83XaGc0o0/edit?usp=sharing"",""งบพรบ!AT58"")"),0)</f>
        <v>0</v>
      </c>
      <c r="M96" s="92">
        <f ca="1">IFERROR(__xludf.DUMMYFUNCTION("IMPORTRANGE(""https://docs.google.com/spreadsheets/d/1MeEWN-I1oV_STSDYn1IFDPWt_1FKiwhDph83XaGc0o0/edit?usp=sharing"",""งบพรบ!AW58"")"),0)</f>
        <v>0</v>
      </c>
      <c r="N96" s="92">
        <f ca="1">IFERROR(__xludf.DUMMYFUNCTION("IMPORTRANGE(""https://docs.google.com/spreadsheets/d/1MeEWN-I1oV_STSDYn1IFDPWt_1FKiwhDph83XaGc0o0/edit?usp=sharing"",""งบพรบ!AY58"")"),0)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IFERROR(__xludf.DUMMYFUNCTION("IMPORTRANGE(""https://docs.google.com/spreadsheets/d/1QqKyyYR6Q21VydFLVH3TRQUabQu_ym0Zz7PgGX0-kHA/edit?usp=sharing"",""แผน!K58"")"),30)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IFERROR(__xludf.DUMMYFUNCTION("IMPORTRANGE(""https://docs.google.com/spreadsheets/d/1QqKyyYR6Q21VydFLVH3TRQUabQu_ym0Zz7PgGX0-kHA/edit?usp=sharing"",""แผน!L58"")"),10)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IFERROR(__xludf.DUMMYFUNCTION("IMPORTRANGE(""https://docs.google.com/spreadsheets/d/1QqKyyYR6Q21VydFLVH3TRQUabQu_ym0Zz7PgGX0-kHA/edit?usp=sharing"",""แผน!M58"")"),2)</f>
        <v>2</v>
      </c>
      <c r="J100" s="269">
        <f>J107+J110</f>
        <v>2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IFERROR(__xludf.DUMMYFUNCTION("IMPORTRANGE(""https://docs.google.com/spreadsheets/d/1QqKyyYR6Q21VydFLVH3TRQUabQu_ym0Zz7PgGX0-kHA/edit?usp=sharing"",""แผน!N58"")"),30)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IFERROR(__xludf.DUMMYFUNCTION("IMPORTRANGE(""https://docs.google.com/spreadsheets/d/1QqKyyYR6Q21VydFLVH3TRQUabQu_ym0Zz7PgGX0-kHA/edit?usp=sharing"",""แผน!O58"")"),10)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IFERROR(__xludf.DUMMYFUNCTION("IMPORTRANGE(""https://docs.google.com/spreadsheets/d/1QqKyyYR6Q21VydFLVH3TRQUabQu_ym0Zz7PgGX0-kHA/edit?usp=sharing"",""แผน!O58"")"),10)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IFERROR(__xludf.DUMMYFUNCTION("IMPORTRANGE(""https://docs.google.com/spreadsheets/d/1QqKyyYR6Q21VydFLVH3TRQUabQu_ym0Zz7PgGX0-kHA/edit?usp=sharing"",""แผน!P58"")"),1)</f>
        <v>1</v>
      </c>
      <c r="J106" s="214">
        <v>1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IFERROR(__xludf.DUMMYFUNCTION("IMPORTRANGE(""https://docs.google.com/spreadsheets/d/1QqKyyYR6Q21VydFLVH3TRQUabQu_ym0Zz7PgGX0-kHA/edit?usp=sharing"",""แผน!P58"")"),1)</f>
        <v>1</v>
      </c>
      <c r="J107" s="214">
        <v>1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IFERROR(__xludf.DUMMYFUNCTION("IMPORTRANGE(""https://docs.google.com/spreadsheets/d/1QqKyyYR6Q21VydFLVH3TRQUabQu_ym0Zz7PgGX0-kHA/edit?usp=sharing"",""แผน!Q58"")"),1)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IFERROR(__xludf.DUMMYFUNCTION("IMPORTRANGE(""https://docs.google.com/spreadsheets/d/1QqKyyYR6Q21VydFLVH3TRQUabQu_ym0Zz7PgGX0-kHA/edit?usp=sharing"",""แผน!Q58"")"),1)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2</v>
      </c>
      <c r="J112" s="676">
        <f>J115+J116</f>
        <v>2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IFERROR(__xludf.DUMMYFUNCTION("IMPORTRANGE(""https://docs.google.com/spreadsheets/d/1QqKyyYR6Q21VydFLVH3TRQUabQu_ym0Zz7PgGX0-kHA/edit?usp=sharing"",""แผน!R58"")"),10)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IFERROR(__xludf.DUMMYFUNCTION("IMPORTRANGE(""https://docs.google.com/spreadsheets/d/1QqKyyYR6Q21VydFLVH3TRQUabQu_ym0Zz7PgGX0-kHA/edit?usp=sharing"",""แผน!R58"")"),10)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IFERROR(__xludf.DUMMYFUNCTION("IMPORTRANGE(""https://docs.google.com/spreadsheets/d/1QqKyyYR6Q21VydFLVH3TRQUabQu_ym0Zz7PgGX0-kHA/edit?usp=sharing"",""แผน!S58"")"),1)</f>
        <v>1</v>
      </c>
      <c r="J115" s="214">
        <v>1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IFERROR(__xludf.DUMMYFUNCTION("IMPORTRANGE(""https://docs.google.com/spreadsheets/d/1QqKyyYR6Q21VydFLVH3TRQUabQu_ym0Zz7PgGX0-kHA/edit?usp=sharing"",""แผน!T58"")"),1)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IFERROR(__xludf.DUMMYFUNCTION("IMPORTRANGE(""https://docs.google.com/spreadsheets/d/1MeEWN-I1oV_STSDYn1IFDPWt_1FKiwhDph83XaGc0o0/edit?usp=sharing"",""งบพรบ!BA58"")"),0)</f>
        <v>0</v>
      </c>
      <c r="M124" s="92">
        <f ca="1">IFERROR(__xludf.DUMMYFUNCTION("IMPORTRANGE(""https://docs.google.com/spreadsheets/d/1MeEWN-I1oV_STSDYn1IFDPWt_1FKiwhDph83XaGc0o0/edit?usp=sharing"",""งบพรบ!BF58"")"),0)</f>
        <v>0</v>
      </c>
      <c r="N124" s="92">
        <f ca="1">IFERROR(__xludf.DUMMYFUNCTION("IMPORTRANGE(""https://docs.google.com/spreadsheets/d/1MeEWN-I1oV_STSDYn1IFDPWt_1FKiwhDph83XaGc0o0/edit?usp=sharing"",""งบพรบ!BH58"")"),0)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IFERROR(__xludf.DUMMYFUNCTION("IMPORTRANGE(""https://docs.google.com/spreadsheets/d/1MeEWN-I1oV_STSDYn1IFDPWt_1FKiwhDph83XaGc0o0/edit?usp=sharing"",""งบพรบ!BD58"")"),0)</f>
        <v>0</v>
      </c>
      <c r="M127" s="92">
        <f ca="1">IFERROR(__xludf.DUMMYFUNCTION("IMPORTRANGE(""https://docs.google.com/spreadsheets/d/1MeEWN-I1oV_STSDYn1IFDPWt_1FKiwhDph83XaGc0o0/edit?usp=sharing"",""งบพรบ!BG58"")"),0)</f>
        <v>0</v>
      </c>
      <c r="N127" s="92">
        <f ca="1">IFERROR(__xludf.DUMMYFUNCTION("IMPORTRANGE(""https://docs.google.com/spreadsheets/d/1MeEWN-I1oV_STSDYn1IFDPWt_1FKiwhDph83XaGc0o0/edit?usp=sharing"",""งบพรบ!BI58"")"),0)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IFERROR(__xludf.DUMMYFUNCTION("IMPORTRANGE(""https://docs.google.com/spreadsheets/d/1MeEWN-I1oV_STSDYn1IFDPWt_1FKiwhDph83XaGc0o0/edit?usp=sharing"",""งบพรบ!BK58"")"),0)</f>
        <v>0</v>
      </c>
      <c r="M137" s="92">
        <f ca="1">IFERROR(__xludf.DUMMYFUNCTION("IMPORTRANGE(""https://docs.google.com/spreadsheets/d/1MeEWN-I1oV_STSDYn1IFDPWt_1FKiwhDph83XaGc0o0/edit?usp=sharing"",""งบพรบ!BP58"")"),0)</f>
        <v>0</v>
      </c>
      <c r="N137" s="92">
        <f ca="1">IFERROR(__xludf.DUMMYFUNCTION("IMPORTRANGE(""https://docs.google.com/spreadsheets/d/1MeEWN-I1oV_STSDYn1IFDPWt_1FKiwhDph83XaGc0o0/edit?usp=sharing"",""งบพรบ!BR58"")"),0)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IFERROR(__xludf.DUMMYFUNCTION("IMPORTRANGE(""https://docs.google.com/spreadsheets/d/1MeEWN-I1oV_STSDYn1IFDPWt_1FKiwhDph83XaGc0o0/edit?usp=sharing"",""งบพรบ!BN58"")"),0)</f>
        <v>0</v>
      </c>
      <c r="M140" s="92">
        <f ca="1">IFERROR(__xludf.DUMMYFUNCTION("IMPORTRANGE(""https://docs.google.com/spreadsheets/d/1MeEWN-I1oV_STSDYn1IFDPWt_1FKiwhDph83XaGc0o0/edit?usp=sharing"",""งบพรบ!BQ58"")"),0)</f>
        <v>0</v>
      </c>
      <c r="N140" s="92">
        <f ca="1">IFERROR(__xludf.DUMMYFUNCTION("IMPORTRANGE(""https://docs.google.com/spreadsheets/d/1MeEWN-I1oV_STSDYn1IFDPWt_1FKiwhDph83XaGc0o0/edit?usp=sharing"",""งบพรบ!BS58"")"),0)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IFERROR(__xludf.DUMMYFUNCTION("IMPORTRANGE(""https://docs.google.com/spreadsheets/d/1QqKyyYR6Q21VydFLVH3TRQUabQu_ym0Zz7PgGX0-kHA/edit?usp=sharing"",""แผน!U58"")"),0)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IFERROR(__xludf.DUMMYFUNCTION("IMPORTRANGE(""https://docs.google.com/spreadsheets/d/1QqKyyYR6Q21VydFLVH3TRQUabQu_ym0Zz7PgGX0-kHA/edit?usp=sharing"",""แผน!V58"")"),0)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IFERROR(__xludf.DUMMYFUNCTION("IMPORTRANGE(""https://docs.google.com/spreadsheets/d/1QqKyyYR6Q21VydFLVH3TRQUabQu_ym0Zz7PgGX0-kHA/edit?usp=sharing"",""แผน!W58"")"),0)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IFERROR(__xludf.DUMMYFUNCTION("IMPORTRANGE(""https://docs.google.com/spreadsheets/d/1MeEWN-I1oV_STSDYn1IFDPWt_1FKiwhDph83XaGc0o0/edit?usp=sharing"",""งบพรบ!BU58"")"),0)</f>
        <v>0</v>
      </c>
      <c r="M154" s="92">
        <f ca="1">IFERROR(__xludf.DUMMYFUNCTION("IMPORTRANGE(""https://docs.google.com/spreadsheets/d/1MeEWN-I1oV_STSDYn1IFDPWt_1FKiwhDph83XaGc0o0/edit?usp=sharing"",""งบพรบ!BZ58"")"),0)</f>
        <v>0</v>
      </c>
      <c r="N154" s="92">
        <f ca="1">IFERROR(__xludf.DUMMYFUNCTION("IMPORTRANGE(""https://docs.google.com/spreadsheets/d/1MeEWN-I1oV_STSDYn1IFDPWt_1FKiwhDph83XaGc0o0/edit?usp=sharing"",""งบพรบ!CB58"")"),0)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IFERROR(__xludf.DUMMYFUNCTION("IMPORTRANGE(""https://docs.google.com/spreadsheets/d/1MeEWN-I1oV_STSDYn1IFDPWt_1FKiwhDph83XaGc0o0/edit?usp=sharing"",""งบพรบ!BX58"")"),0)</f>
        <v>0</v>
      </c>
      <c r="M157" s="92">
        <f ca="1">IFERROR(__xludf.DUMMYFUNCTION("IMPORTRANGE(""https://docs.google.com/spreadsheets/d/1MeEWN-I1oV_STSDYn1IFDPWt_1FKiwhDph83XaGc0o0/edit?usp=sharing"",""งบพรบ!CA58"")"),0)</f>
        <v>0</v>
      </c>
      <c r="N157" s="92">
        <f ca="1">IFERROR(__xludf.DUMMYFUNCTION("IMPORTRANGE(""https://docs.google.com/spreadsheets/d/1MeEWN-I1oV_STSDYn1IFDPWt_1FKiwhDph83XaGc0o0/edit?usp=sharing"",""งบพรบ!CC58"")"),0)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IFERROR(__xludf.DUMMYFUNCTION("IMPORTRANGE(""https://docs.google.com/spreadsheets/d/1QqKyyYR6Q21VydFLVH3TRQUabQu_ym0Zz7PgGX0-kHA/edit?usp=sharing"",""แผน!X58"")"),0)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10</v>
      </c>
      <c r="J164" s="252">
        <f>J174+J177</f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21050</v>
      </c>
      <c r="M165" s="154">
        <f ca="1">M166+M167</f>
        <v>49240</v>
      </c>
      <c r="N165" s="154">
        <f ca="1">N166+N167</f>
        <v>49240</v>
      </c>
      <c r="O165" s="154">
        <f t="shared" ref="O165:O173" ca="1" si="38">IF(L165&gt;0,N165*100/L165,0)</f>
        <v>233.91923990498813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21050</v>
      </c>
      <c r="M167" s="92">
        <f t="shared" ca="1" si="40"/>
        <v>49240</v>
      </c>
      <c r="N167" s="92">
        <f t="shared" ca="1" si="40"/>
        <v>49240</v>
      </c>
      <c r="O167" s="92">
        <f t="shared" ca="1" si="38"/>
        <v>233.91923990498813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21050</v>
      </c>
      <c r="M168" s="497">
        <f ca="1">M169+M170</f>
        <v>49240</v>
      </c>
      <c r="N168" s="497">
        <f ca="1">N169+N170</f>
        <v>49240</v>
      </c>
      <c r="O168" s="497">
        <f t="shared" ca="1" si="38"/>
        <v>233.91923990498813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IFERROR(__xludf.DUMMYFUNCTION("IMPORTRANGE(""https://docs.google.com/spreadsheets/d/1MeEWN-I1oV_STSDYn1IFDPWt_1FKiwhDph83XaGc0o0/edit?usp=sharing"",""งบพรบ!CE58"")"),21050)</f>
        <v>21050</v>
      </c>
      <c r="M170" s="92">
        <f ca="1">IFERROR(__xludf.DUMMYFUNCTION("IMPORTRANGE(""https://docs.google.com/spreadsheets/d/1MeEWN-I1oV_STSDYn1IFDPWt_1FKiwhDph83XaGc0o0/edit?usp=sharing"",""งบพรบ!CJ58"")"),49240)</f>
        <v>49240</v>
      </c>
      <c r="N170" s="92">
        <f ca="1">IFERROR(__xludf.DUMMYFUNCTION("IMPORTRANGE(""https://docs.google.com/spreadsheets/d/1MeEWN-I1oV_STSDYn1IFDPWt_1FKiwhDph83XaGc0o0/edit?usp=sharing"",""งบพรบ!CL58"")"),49240)</f>
        <v>49240</v>
      </c>
      <c r="O170" s="92">
        <f t="shared" ca="1" si="38"/>
        <v>233.91923990498813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IFERROR(__xludf.DUMMYFUNCTION("IMPORTRANGE(""https://docs.google.com/spreadsheets/d/1MeEWN-I1oV_STSDYn1IFDPWt_1FKiwhDph83XaGc0o0/edit?usp=sharing"",""งบพรบ!CH58"")"),0)</f>
        <v>0</v>
      </c>
      <c r="M173" s="92">
        <f ca="1">IFERROR(__xludf.DUMMYFUNCTION("IMPORTRANGE(""https://docs.google.com/spreadsheets/d/1MeEWN-I1oV_STSDYn1IFDPWt_1FKiwhDph83XaGc0o0/edit?usp=sharing"",""งบพรบ!CK58"")"),0)</f>
        <v>0</v>
      </c>
      <c r="N173" s="92">
        <f ca="1">IFERROR(__xludf.DUMMYFUNCTION("IMPORTRANGE(""https://docs.google.com/spreadsheets/d/1MeEWN-I1oV_STSDYn1IFDPWt_1FKiwhDph83XaGc0o0/edit?usp=sharing"",""งบพรบ!CM58"")"),0)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10</v>
      </c>
      <c r="J174" s="260">
        <f>J176</f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IFERROR(__xludf.DUMMYFUNCTION("IMPORTRANGE(""https://docs.google.com/spreadsheets/d/1QqKyyYR6Q21VydFLVH3TRQUabQu_ym0Zz7PgGX0-kHA/edit?usp=sharing"",""แผน!Y58"")"),10)</f>
        <v>10</v>
      </c>
      <c r="J176" s="214">
        <v>10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0</v>
      </c>
      <c r="J180" s="252">
        <f>J225+J226</f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38600</v>
      </c>
      <c r="M181" s="154">
        <f ca="1">M182+M183</f>
        <v>45320</v>
      </c>
      <c r="N181" s="154">
        <f ca="1">N182+N183</f>
        <v>45320</v>
      </c>
      <c r="O181" s="154">
        <f t="shared" ref="O181:O189" ca="1" si="41">IF(L181&gt;0,N181*100/L181,0)</f>
        <v>117.40932642487047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38600</v>
      </c>
      <c r="M183" s="92">
        <f t="shared" ca="1" si="43"/>
        <v>45320</v>
      </c>
      <c r="N183" s="92">
        <f t="shared" ca="1" si="43"/>
        <v>45320</v>
      </c>
      <c r="O183" s="92">
        <f t="shared" ca="1" si="41"/>
        <v>117.40932642487047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38600</v>
      </c>
      <c r="M184" s="497">
        <f ca="1">M185+M186</f>
        <v>45320</v>
      </c>
      <c r="N184" s="497">
        <f ca="1">N185+N186</f>
        <v>45320</v>
      </c>
      <c r="O184" s="497">
        <f t="shared" ca="1" si="41"/>
        <v>117.40932642487047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IFERROR(__xludf.DUMMYFUNCTION("IMPORTRANGE(""https://docs.google.com/spreadsheets/d/1MeEWN-I1oV_STSDYn1IFDPWt_1FKiwhDph83XaGc0o0/edit?usp=sharing"",""งบพรบ!CO58"")"),38600)</f>
        <v>38600</v>
      </c>
      <c r="M186" s="92">
        <f ca="1">IFERROR(__xludf.DUMMYFUNCTION("IMPORTRANGE(""https://docs.google.com/spreadsheets/d/1MeEWN-I1oV_STSDYn1IFDPWt_1FKiwhDph83XaGc0o0/edit?usp=sharing"",""งบพรบ!CT58"")"),45320)</f>
        <v>45320</v>
      </c>
      <c r="N186" s="92">
        <f ca="1">IFERROR(__xludf.DUMMYFUNCTION("IMPORTRANGE(""https://docs.google.com/spreadsheets/d/1MeEWN-I1oV_STSDYn1IFDPWt_1FKiwhDph83XaGc0o0/edit?usp=sharing"",""งบพรบ!CV58"")"),45320)</f>
        <v>45320</v>
      </c>
      <c r="O186" s="92">
        <f t="shared" ca="1" si="41"/>
        <v>117.40932642487047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IFERROR(__xludf.DUMMYFUNCTION("IMPORTRANGE(""https://docs.google.com/spreadsheets/d/1MeEWN-I1oV_STSDYn1IFDPWt_1FKiwhDph83XaGc0o0/edit?usp=sharing"",""งบพรบ!CR58"")"),0)</f>
        <v>0</v>
      </c>
      <c r="M189" s="92">
        <f ca="1">IFERROR(__xludf.DUMMYFUNCTION("IMPORTRANGE(""https://docs.google.com/spreadsheets/d/1MeEWN-I1oV_STSDYn1IFDPWt_1FKiwhDph83XaGc0o0/edit?usp=sharing"",""งบพรบ!CU58"")"),0)</f>
        <v>0</v>
      </c>
      <c r="N189" s="92">
        <f ca="1">IFERROR(__xludf.DUMMYFUNCTION("IMPORTRANGE(""https://docs.google.com/spreadsheets/d/1MeEWN-I1oV_STSDYn1IFDPWt_1FKiwhDph83XaGc0o0/edit?usp=sharing"",""งบพรบ!CW58"")"),0)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IFERROR(__xludf.DUMMYFUNCTION("IMPORTRANGE(""https://docs.google.com/spreadsheets/d/1QqKyyYR6Q21VydFLVH3TRQUabQu_ym0Zz7PgGX0-kHA/edit?usp=sharing"",""แผน!Z58"")"),6000)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IFERROR(__xludf.DUMMYFUNCTION("IMPORTRANGE(""https://docs.google.com/spreadsheets/d/1QqKyyYR6Q21VydFLVH3TRQUabQu_ym0Zz7PgGX0-kHA/edit?usp=sharing"",""แผน!AC58"")"),4)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119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119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IFERROR(__xludf.DUMMYFUNCTION("IMPORTRANGE(""https://docs.google.com/spreadsheets/d/1QqKyyYR6Q21VydFLVH3TRQUabQu_ym0Zz7PgGX0-kHA/edit?usp=sharing"",""แผน!AI58"")"),1)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1</v>
      </c>
      <c r="J208" s="271">
        <f>J215</f>
        <v>1</v>
      </c>
      <c r="K208" s="272">
        <f ca="1">IF(I208&gt;0,J208*100/I208,0)</f>
        <v>100</v>
      </c>
      <c r="L208" s="261"/>
      <c r="M208" s="261"/>
      <c r="N208" s="261"/>
      <c r="O208" s="261"/>
      <c r="P208" s="261"/>
    </row>
    <row r="209" spans="1:26" ht="19.5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14000</v>
      </c>
      <c r="M209" s="154"/>
      <c r="N209" s="154">
        <f>N210+N211+N212</f>
        <v>14000</v>
      </c>
      <c r="O209" s="154">
        <f ca="1">IF(L209&gt;0,N209*100/L209,0)</f>
        <v>100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3">
        <v>1000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3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3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IFERROR(__xludf.DUMMYFUNCTION("IMPORTRANGE(""https://docs.google.com/spreadsheets/d/1QqKyyYR6Q21VydFLVH3TRQUabQu_ym0Zz7PgGX0-kHA/edit?usp=sharing"",""แผน!AN58"")"),1)</f>
        <v>1</v>
      </c>
      <c r="J214" s="214">
        <v>1</v>
      </c>
      <c r="K214" s="497">
        <f ca="1">IF(I214&gt;0,J214*100/I214,0)</f>
        <v>100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IFERROR(__xludf.DUMMYFUNCTION("IMPORTRANGE(""https://docs.google.com/spreadsheets/d/1QqKyyYR6Q21VydFLVH3TRQUabQu_ym0Zz7PgGX0-kHA/edit?usp=sharing"",""แผน!AN58"")"),1)</f>
        <v>1</v>
      </c>
      <c r="J215" s="214">
        <v>1</v>
      </c>
      <c r="K215" s="497">
        <f ca="1">IF(I215&gt;0,J215*100/I215,0)</f>
        <v>100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3200</v>
      </c>
      <c r="J216" s="271">
        <f>J224</f>
        <v>3200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5600</v>
      </c>
      <c r="M217" s="154"/>
      <c r="N217" s="154">
        <f>N218+N219+N220</f>
        <v>5600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3">
        <v>5600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3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IFERROR(__xludf.DUMMYFUNCTION("IMPORTRANGE(""https://docs.google.com/spreadsheets/d/1QqKyyYR6Q21VydFLVH3TRQUabQu_ym0Zz7PgGX0-kHA/edit?usp=sharing"",""แผน!AT58"")"),3200)</f>
        <v>3200</v>
      </c>
      <c r="J223" s="214">
        <v>3200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IFERROR(__xludf.DUMMYFUNCTION("IMPORTRANGE(""https://docs.google.com/spreadsheets/d/1QqKyyYR6Q21VydFLVH3TRQUabQu_ym0Zz7PgGX0-kHA/edit?usp=sharing"",""แผน!AT58"")"),3200)</f>
        <v>3200</v>
      </c>
      <c r="J224" s="214">
        <v>3200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IFERROR(__xludf.DUMMYFUNCTION("IMPORTRANGE(""https://docs.google.com/spreadsheets/d/1QqKyyYR6Q21VydFLVH3TRQUabQu_ym0Zz7PgGX0-kHA/edit?usp=sharing"",""แผน!AS58"")"),0)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0</v>
      </c>
      <c r="J226" s="344">
        <f>J237+J248</f>
        <v>0</v>
      </c>
      <c r="K226" s="345">
        <f ca="1">IF(I226&gt;0,J226*100/I226,0)</f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0</v>
      </c>
      <c r="M227" s="355"/>
      <c r="N227" s="355">
        <f>N238+N249</f>
        <v>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0</v>
      </c>
      <c r="M228" s="92"/>
      <c r="N228" s="92">
        <f>N239+N250</f>
        <v>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0</v>
      </c>
      <c r="M229" s="92"/>
      <c r="N229" s="92">
        <f>N240+N251</f>
        <v>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0</v>
      </c>
      <c r="M230" s="92"/>
      <c r="N230" s="92">
        <f>N241+N252</f>
        <v>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0</v>
      </c>
      <c r="M231" s="92"/>
      <c r="N231" s="92">
        <f>N242+N253</f>
        <v>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0</v>
      </c>
      <c r="J233" s="612">
        <f>J244+J255</f>
        <v>0</v>
      </c>
      <c r="K233" s="92">
        <f ca="1">IF(I233&gt;0,J233*100/I233,0)</f>
        <v>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0</v>
      </c>
      <c r="J235" s="612">
        <f>J246+J257</f>
        <v>0</v>
      </c>
      <c r="K235" s="92">
        <f>IF(I235&gt;0,J235*100/I235,0)</f>
        <v>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0</v>
      </c>
      <c r="J236" s="612">
        <f>J247+J258</f>
        <v>0</v>
      </c>
      <c r="K236" s="92">
        <f>IF(I236&gt;0,J236*100/I236,0)</f>
        <v>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 hidden="1">
      <c r="A237" s="255"/>
      <c r="B237" s="263"/>
      <c r="C237" s="270" t="s">
        <v>120</v>
      </c>
      <c r="D237" s="256"/>
      <c r="E237" s="256"/>
      <c r="F237" s="256"/>
      <c r="G237" s="258"/>
      <c r="H237" s="259" t="s">
        <v>35</v>
      </c>
      <c r="I237" s="271">
        <f ca="1">I244</f>
        <v>0</v>
      </c>
      <c r="J237" s="271">
        <f>J244</f>
        <v>0</v>
      </c>
      <c r="K237" s="272">
        <f ca="1">IF(I237&gt;0,J237*100/I237,0)</f>
        <v>0</v>
      </c>
      <c r="L237" s="261"/>
      <c r="M237" s="261"/>
      <c r="N237" s="261"/>
      <c r="O237" s="261"/>
      <c r="P237" s="261"/>
    </row>
    <row r="238" spans="1:26" ht="19.5" hidden="1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0</v>
      </c>
      <c r="M238" s="154"/>
      <c r="N238" s="154">
        <f>N239+N240+N241+N242</f>
        <v>0</v>
      </c>
      <c r="O238" s="154">
        <f ca="1">IF(L238&gt;0,N238*100/L238,0)</f>
        <v>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 hidden="1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IFERROR(__xludf.DUMMYFUNCTION("IMPORTRANGE(""https://docs.google.com/spreadsheets/d/1QqKyyYR6Q21VydFLVH3TRQUabQu_ym0Zz7PgGX0-kHA/edit?usp=sharing"",""แผน!AV58"")"),0)</f>
        <v>0</v>
      </c>
      <c r="M239" s="282"/>
      <c r="N239" s="862">
        <v>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IFERROR(__xludf.DUMMYFUNCTION("IMPORTRANGE(""https://docs.google.com/spreadsheets/d/1QqKyyYR6Q21VydFLVH3TRQUabQu_ym0Zz7PgGX0-kHA/edit?usp=sharing"",""แผน!AW58"")"),0)</f>
        <v>0</v>
      </c>
      <c r="M240" s="282"/>
      <c r="N240" s="862">
        <v>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IFERROR(__xludf.DUMMYFUNCTION("IMPORTRANGE(""https://docs.google.com/spreadsheets/d/1QqKyyYR6Q21VydFLVH3TRQUabQu_ym0Zz7PgGX0-kHA/edit?usp=sharing"",""แผน!AX58"")"),0)</f>
        <v>0</v>
      </c>
      <c r="M241" s="282"/>
      <c r="N241" s="862">
        <v>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IFERROR(__xludf.DUMMYFUNCTION("IMPORTRANGE(""https://docs.google.com/spreadsheets/d/1QqKyyYR6Q21VydFLVH3TRQUabQu_ym0Zz7PgGX0-kHA/edit?usp=sharing"",""แผน!AY58"")"),0)</f>
        <v>0</v>
      </c>
      <c r="M242" s="282"/>
      <c r="N242" s="862">
        <v>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 hidden="1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IFERROR(__xludf.DUMMYFUNCTION("IMPORTRANGE(""https://docs.google.com/spreadsheets/d/1QqKyyYR6Q21VydFLVH3TRQUabQu_ym0Zz7PgGX0-kHA/edit?usp=sharing"",""แผน!BE58"")"),0)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 hidden="1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 hidden="1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/>
      <c r="J246" s="214">
        <v>0</v>
      </c>
      <c r="K246" s="497">
        <f>IF(I246&gt;0,J246*100/I246,0)</f>
        <v>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 hidden="1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/>
      <c r="J247" s="214">
        <v>0</v>
      </c>
      <c r="K247" s="497">
        <f>IF(I247&gt;0,J247*100/I247,0)</f>
        <v>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IFERROR(__xludf.DUMMYFUNCTION("IMPORTRANGE(""https://docs.google.com/spreadsheets/d/1QqKyyYR6Q21VydFLVH3TRQUabQu_ym0Zz7PgGX0-kHA/edit?usp=sharing"",""แผน!AZ58"")"),0)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IFERROR(__xludf.DUMMYFUNCTION("IMPORTRANGE(""https://docs.google.com/spreadsheets/d/1QqKyyYR6Q21VydFLVH3TRQUabQu_ym0Zz7PgGX0-kHA/edit?usp=sharing"",""แผน!BA58"")"),0)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IFERROR(__xludf.DUMMYFUNCTION("IMPORTRANGE(""https://docs.google.com/spreadsheets/d/1QqKyyYR6Q21VydFLVH3TRQUabQu_ym0Zz7PgGX0-kHA/edit?usp=sharing"",""แผน!BB58"")"),0)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IFERROR(__xludf.DUMMYFUNCTION("IMPORTRANGE(""https://docs.google.com/spreadsheets/d/1QqKyyYR6Q21VydFLVH3TRQUabQu_ym0Zz7PgGX0-kHA/edit?usp=sharing"",""แผน!BC58"")"),0)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IFERROR(__xludf.DUMMYFUNCTION("IMPORTRANGE(""https://docs.google.com/spreadsheets/d/1MeEWN-I1oV_STSDYn1IFDPWt_1FKiwhDph83XaGc0o0/edit?usp=sharing"",""งบพรบ!CY58"")"),26900)</f>
        <v>26900</v>
      </c>
      <c r="M266" s="92">
        <f ca="1">IFERROR(__xludf.DUMMYFUNCTION("IMPORTRANGE(""https://docs.google.com/spreadsheets/d/1MeEWN-I1oV_STSDYn1IFDPWt_1FKiwhDph83XaGc0o0/edit?usp=sharing"",""งบพรบ!DD58"")"),26900)</f>
        <v>26900</v>
      </c>
      <c r="N266" s="92">
        <f ca="1">IFERROR(__xludf.DUMMYFUNCTION("IMPORTRANGE(""https://docs.google.com/spreadsheets/d/1MeEWN-I1oV_STSDYn1IFDPWt_1FKiwhDph83XaGc0o0/edit?usp=sharing"",""งบพรบ!DF58"")"),26900)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IFERROR(__xludf.DUMMYFUNCTION("IMPORTRANGE(""https://docs.google.com/spreadsheets/d/1MeEWN-I1oV_STSDYn1IFDPWt_1FKiwhDph83XaGc0o0/edit?usp=sharing"",""งบพรบ!DB58"")"),0)</f>
        <v>0</v>
      </c>
      <c r="M269" s="92">
        <f ca="1">IFERROR(__xludf.DUMMYFUNCTION("IMPORTRANGE(""https://docs.google.com/spreadsheets/d/1MeEWN-I1oV_STSDYn1IFDPWt_1FKiwhDph83XaGc0o0/edit?usp=sharing"",""งบพรบ!DE58"")"),0)</f>
        <v>0</v>
      </c>
      <c r="N269" s="92">
        <f ca="1">IFERROR(__xludf.DUMMYFUNCTION("IMPORTRANGE(""https://docs.google.com/spreadsheets/d/1MeEWN-I1oV_STSDYn1IFDPWt_1FKiwhDph83XaGc0o0/edit?usp=sharing"",""งบพรบ!DG58"")"),0)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IFERROR(__xludf.DUMMYFUNCTION("IMPORTRANGE(""https://docs.google.com/spreadsheets/d/1QqKyyYR6Q21VydFLVH3TRQUabQu_ym0Zz7PgGX0-kHA/edit?usp=sharing"",""แผน!EA58"")"),22)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IFERROR(__xludf.DUMMYFUNCTION("IMPORTRANGE(""https://docs.google.com/spreadsheets/d/1MeEWN-I1oV_STSDYn1IFDPWt_1FKiwhDph83XaGc0o0/edit?usp=sharing"",""งบพรบ!DI58"")"),0)</f>
        <v>0</v>
      </c>
      <c r="M282" s="92">
        <f ca="1">IFERROR(__xludf.DUMMYFUNCTION("IMPORTRANGE(""https://docs.google.com/spreadsheets/d/1MeEWN-I1oV_STSDYn1IFDPWt_1FKiwhDph83XaGc0o0/edit?usp=sharing"",""งบพรบ!DN58"")"),0)</f>
        <v>0</v>
      </c>
      <c r="N282" s="92">
        <f ca="1">IFERROR(__xludf.DUMMYFUNCTION("IMPORTRANGE(""https://docs.google.com/spreadsheets/d/1MeEWN-I1oV_STSDYn1IFDPWt_1FKiwhDph83XaGc0o0/edit?usp=sharing"",""งบพรบ!DP58"")"),0)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IFERROR(__xludf.DUMMYFUNCTION("IMPORTRANGE(""https://docs.google.com/spreadsheets/d/1MeEWN-I1oV_STSDYn1IFDPWt_1FKiwhDph83XaGc0o0/edit?usp=sharing"",""งบพรบ!DL58"")"),0)</f>
        <v>0</v>
      </c>
      <c r="M285" s="92">
        <f ca="1">IFERROR(__xludf.DUMMYFUNCTION("IMPORTRANGE(""https://docs.google.com/spreadsheets/d/1MeEWN-I1oV_STSDYn1IFDPWt_1FKiwhDph83XaGc0o0/edit?usp=sharing"",""งบพรบ!DO58"")"),0)</f>
        <v>0</v>
      </c>
      <c r="N285" s="92">
        <f ca="1">IFERROR(__xludf.DUMMYFUNCTION("IMPORTRANGE(""https://docs.google.com/spreadsheets/d/1MeEWN-I1oV_STSDYn1IFDPWt_1FKiwhDph83XaGc0o0/edit?usp=sharing"",""งบพรบ!DQ58"")"),0)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IFERROR(__xludf.DUMMYFUNCTION("IMPORTRANGE(""https://docs.google.com/spreadsheets/d/1QqKyyYR6Q21VydFLVH3TRQUabQu_ym0Zz7PgGX0-kHA/edit?usp=sharing"",""แผน!EC58"")"),0)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IFERROR(__xludf.DUMMYFUNCTION("IMPORTRANGE(""https://docs.google.com/spreadsheets/d/1QqKyyYR6Q21VydFLVH3TRQUabQu_ym0Zz7PgGX0-kHA/edit?usp=sharing"",""แผน!EB58"")"),0)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IFERROR(__xludf.DUMMYFUNCTION("IMPORTRANGE(""https://docs.google.com/spreadsheets/d/1QqKyyYR6Q21VydFLVH3TRQUabQu_ym0Zz7PgGX0-kHA/edit?usp=sharing"",""แผน!EB58"")"),0)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IFERROR(__xludf.DUMMYFUNCTION("IMPORTRANGE(""https://docs.google.com/spreadsheets/d/1QqKyyYR6Q21VydFLVH3TRQUabQu_ym0Zz7PgGX0-kHA/edit?usp=sharing"",""แผน!EB58"")"),0)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IFERROR(__xludf.DUMMYFUNCTION("IMPORTRANGE(""https://docs.google.com/spreadsheets/d/1QqKyyYR6Q21VydFLVH3TRQUabQu_ym0Zz7PgGX0-kHA/edit?usp=sharing"",""แผน!EB58"")"),0)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IFERROR(__xludf.DUMMYFUNCTION("IMPORTRANGE(""https://docs.google.com/spreadsheets/d/1MeEWN-I1oV_STSDYn1IFDPWt_1FKiwhDph83XaGc0o0/edit?usp=sharing"",""งบพรบ!DS58"")"),0)</f>
        <v>0</v>
      </c>
      <c r="M303" s="92">
        <f ca="1">IFERROR(__xludf.DUMMYFUNCTION("IMPORTRANGE(""https://docs.google.com/spreadsheets/d/1MeEWN-I1oV_STSDYn1IFDPWt_1FKiwhDph83XaGc0o0/edit?usp=sharing"",""งบพรบ!DX58"")"),0)</f>
        <v>0</v>
      </c>
      <c r="N303" s="92">
        <f ca="1">IFERROR(__xludf.DUMMYFUNCTION("IMPORTRANGE(""https://docs.google.com/spreadsheets/d/1MeEWN-I1oV_STSDYn1IFDPWt_1FKiwhDph83XaGc0o0/edit?usp=sharing"",""งบพรบ!DZ58"")"),0)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IFERROR(__xludf.DUMMYFUNCTION("IMPORTRANGE(""https://docs.google.com/spreadsheets/d/1MeEWN-I1oV_STSDYn1IFDPWt_1FKiwhDph83XaGc0o0/edit?usp=sharing"",""งบพรบ!DV58"")"),0)</f>
        <v>0</v>
      </c>
      <c r="M306" s="92">
        <f ca="1">IFERROR(__xludf.DUMMYFUNCTION("IMPORTRANGE(""https://docs.google.com/spreadsheets/d/1MeEWN-I1oV_STSDYn1IFDPWt_1FKiwhDph83XaGc0o0/edit?usp=sharing"",""งบพรบ!DY58"")"),0)</f>
        <v>0</v>
      </c>
      <c r="N306" s="92">
        <f ca="1">IFERROR(__xludf.DUMMYFUNCTION("IMPORTRANGE(""https://docs.google.com/spreadsheets/d/1MeEWN-I1oV_STSDYn1IFDPWt_1FKiwhDph83XaGc0o0/edit?usp=sharing"",""งบพรบ!EA58"")"),0)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IFERROR(__xludf.DUMMYFUNCTION("IMPORTRANGE(""https://docs.google.com/spreadsheets/d/1QqKyyYR6Q21VydFLVH3TRQUabQu_ym0Zz7PgGX0-kHA/edit?usp=sharing"",""แผน!ED58"")"),0)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IFERROR(__xludf.DUMMYFUNCTION("IMPORTRANGE(""https://docs.google.com/spreadsheets/d/1QqKyyYR6Q21VydFLVH3TRQUabQu_ym0Zz7PgGX0-kHA/edit?usp=sharing"",""แผน!ED58"")"),0)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IFERROR(__xludf.DUMMYFUNCTION("IMPORTRANGE(""https://docs.google.com/spreadsheets/d/1QqKyyYR6Q21VydFLVH3TRQUabQu_ym0Zz7PgGX0-kHA/edit?usp=sharing"",""แผน!ED58"")"),0)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IFERROR(__xludf.DUMMYFUNCTION("IMPORTRANGE(""https://docs.google.com/spreadsheets/d/1QqKyyYR6Q21VydFLVH3TRQUabQu_ym0Zz7PgGX0-kHA/edit?usp=sharing"",""แผน!EE58"")"),0)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IFERROR(__xludf.DUMMYFUNCTION("IMPORTRANGE(""https://docs.google.com/spreadsheets/d/1MeEWN-I1oV_STSDYn1IFDPWt_1FKiwhDph83XaGc0o0/edit?usp=sharing"",""งบพรบ!EC58"")"),0)</f>
        <v>0</v>
      </c>
      <c r="M320" s="92">
        <f ca="1">IFERROR(__xludf.DUMMYFUNCTION("IMPORTRANGE(""https://docs.google.com/spreadsheets/d/1MeEWN-I1oV_STSDYn1IFDPWt_1FKiwhDph83XaGc0o0/edit?usp=sharing"",""งบพรบ!EH58"")"),0)</f>
        <v>0</v>
      </c>
      <c r="N320" s="92">
        <f ca="1">IFERROR(__xludf.DUMMYFUNCTION("IMPORTRANGE(""https://docs.google.com/spreadsheets/d/1MeEWN-I1oV_STSDYn1IFDPWt_1FKiwhDph83XaGc0o0/edit?usp=sharing"",""งบพรบ!EJ58"")"),0)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IFERROR(__xludf.DUMMYFUNCTION("IMPORTRANGE(""https://docs.google.com/spreadsheets/d/1MeEWN-I1oV_STSDYn1IFDPWt_1FKiwhDph83XaGc0o0/edit?usp=sharing"",""งบพรบ!EF58"")"),0)</f>
        <v>0</v>
      </c>
      <c r="M323" s="92">
        <f ca="1">IFERROR(__xludf.DUMMYFUNCTION("IMPORTRANGE(""https://docs.google.com/spreadsheets/d/1MeEWN-I1oV_STSDYn1IFDPWt_1FKiwhDph83XaGc0o0/edit?usp=sharing"",""งบพรบ!EI58"")"),0)</f>
        <v>0</v>
      </c>
      <c r="N323" s="92">
        <f ca="1">IFERROR(__xludf.DUMMYFUNCTION("IMPORTRANGE(""https://docs.google.com/spreadsheets/d/1MeEWN-I1oV_STSDYn1IFDPWt_1FKiwhDph83XaGc0o0/edit?usp=sharing"",""งบพรบ!EK58"")"),0)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IFERROR(__xludf.DUMMYFUNCTION("IMPORTRANGE(""https://docs.google.com/spreadsheets/d/1QqKyyYR6Q21VydFLVH3TRQUabQu_ym0Zz7PgGX0-kHA/edit?usp=sharing"",""แผน!EF58"")"),0)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IFERROR(__xludf.DUMMYFUNCTION("IMPORTRANGE(""https://docs.google.com/spreadsheets/d/1QqKyyYR6Q21VydFLVH3TRQUabQu_ym0Zz7PgGX0-kHA/edit?usp=sharing"",""แผน!EG58"")"),600)</f>
        <v>600</v>
      </c>
      <c r="J327" s="443">
        <f ca="1">J338+J341+J342+J343</f>
        <v>3342</v>
      </c>
      <c r="K327" s="444">
        <f ca="1">IF(I327&gt;0,J327*100/I327,0)</f>
        <v>557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157000</v>
      </c>
      <c r="M328" s="154">
        <f ca="1">M329+M330</f>
        <v>159500</v>
      </c>
      <c r="N328" s="154">
        <f ca="1">N329+N330</f>
        <v>159500</v>
      </c>
      <c r="O328" s="154">
        <f t="shared" ref="O328:O336" ca="1" si="56">IF(L328&gt;0,N328*100/L328,0)</f>
        <v>101.59235668789809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157000</v>
      </c>
      <c r="M330" s="92">
        <f t="shared" ca="1" si="58"/>
        <v>159500</v>
      </c>
      <c r="N330" s="92">
        <f t="shared" ca="1" si="58"/>
        <v>159500</v>
      </c>
      <c r="O330" s="92">
        <f t="shared" ca="1" si="56"/>
        <v>101.59235668789809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157000</v>
      </c>
      <c r="M331" s="497">
        <f ca="1">M332+M333</f>
        <v>159500</v>
      </c>
      <c r="N331" s="497">
        <f ca="1">N332+N333</f>
        <v>159500</v>
      </c>
      <c r="O331" s="497">
        <f t="shared" ca="1" si="56"/>
        <v>101.59235668789809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IFERROR(__xludf.DUMMYFUNCTION("IMPORTRANGE(""https://docs.google.com/spreadsheets/d/1MeEWN-I1oV_STSDYn1IFDPWt_1FKiwhDph83XaGc0o0/edit?usp=sharing"",""งบพรบ!EM58"")"),157000)</f>
        <v>157000</v>
      </c>
      <c r="M333" s="92">
        <f ca="1">IFERROR(__xludf.DUMMYFUNCTION("IMPORTRANGE(""https://docs.google.com/spreadsheets/d/1MeEWN-I1oV_STSDYn1IFDPWt_1FKiwhDph83XaGc0o0/edit?usp=sharing"",""งบพรบ!ER58"")"),159500)</f>
        <v>159500</v>
      </c>
      <c r="N333" s="92">
        <f ca="1">IFERROR(__xludf.DUMMYFUNCTION("IMPORTRANGE(""https://docs.google.com/spreadsheets/d/1MeEWN-I1oV_STSDYn1IFDPWt_1FKiwhDph83XaGc0o0/edit?usp=sharing"",""งบพรบ!ET58"")"),159500)</f>
        <v>159500</v>
      </c>
      <c r="O333" s="92">
        <f t="shared" ca="1" si="56"/>
        <v>101.59235668789809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IFERROR(__xludf.DUMMYFUNCTION("IMPORTRANGE(""https://docs.google.com/spreadsheets/d/1MeEWN-I1oV_STSDYn1IFDPWt_1FKiwhDph83XaGc0o0/edit?usp=sharing"",""งบพรบ!EP58"")"),0)</f>
        <v>0</v>
      </c>
      <c r="M336" s="92">
        <f ca="1">IFERROR(__xludf.DUMMYFUNCTION("IMPORTRANGE(""https://docs.google.com/spreadsheets/d/1MeEWN-I1oV_STSDYn1IFDPWt_1FKiwhDph83XaGc0o0/edit?usp=sharing"",""งบพรบ!ES58"")"),0)</f>
        <v>0</v>
      </c>
      <c r="N336" s="92">
        <f ca="1">IFERROR(__xludf.DUMMYFUNCTION("IMPORTRANGE(""https://docs.google.com/spreadsheets/d/1MeEWN-I1oV_STSDYn1IFDPWt_1FKiwhDph83XaGc0o0/edit?usp=sharing"",""งบพรบ!EU58"")"),0)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IFERROR(__xludf.DUMMYFUNCTION("IMPORTRANGE(""https://docs.google.com/spreadsheets/d/1QqKyyYR6Q21VydFLVH3TRQUabQu_ym0Zz7PgGX0-kHA/edit?usp=sharing"",""แผน!EG58"")"),600)</f>
        <v>600</v>
      </c>
      <c r="J338" s="269">
        <f ca="1">IFERROR(__xludf.DUMMYFUNCTION("IMPORTRANGE(""https://docs.google.com/spreadsheets/d/1kVcqe37tkHyjCSG3S0O1AXqVkqjo8mSIZil3BcpIysc/edit?usp=sharing"",""ศูนย์!D58"")"),3230)</f>
        <v>3230</v>
      </c>
      <c r="K338" s="497">
        <f ca="1">IF(I338&gt;0,J338*100/I338,0)</f>
        <v>538.33333333333337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IFERROR(__xludf.DUMMYFUNCTION("IMPORTRANGE(""https://docs.google.com/spreadsheets/d/1QqKyyYR6Q21VydFLVH3TRQUabQu_ym0Zz7PgGX0-kHA/edit?usp=sharing"",""แผน!EH58"")"),2)</f>
        <v>2</v>
      </c>
      <c r="J340" s="269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IFERROR(__xludf.DUMMYFUNCTION("IMPORTRANGE(""https://docs.google.com/spreadsheets/d/1kVcqe37tkHyjCSG3S0O1AXqVkqjo8mSIZil3BcpIysc/edit?usp=sharing"",""ศูนย์!G58"")"),56)</f>
        <v>56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578780</v>
      </c>
      <c r="M345" s="154">
        <f ca="1">M346+M347</f>
        <v>779870</v>
      </c>
      <c r="N345" s="154">
        <f ca="1">N346+N347</f>
        <v>779870</v>
      </c>
      <c r="O345" s="154">
        <f t="shared" ref="O345:O353" ca="1" si="59">IF(L345&gt;0,N345*100/L345,0)</f>
        <v>134.74377138118109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578780</v>
      </c>
      <c r="M347" s="92">
        <f t="shared" ca="1" si="61"/>
        <v>779870</v>
      </c>
      <c r="N347" s="92">
        <f t="shared" ca="1" si="61"/>
        <v>779870</v>
      </c>
      <c r="O347" s="92">
        <f t="shared" ca="1" si="59"/>
        <v>134.74377138118109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562780</v>
      </c>
      <c r="M348" s="497">
        <f ca="1">M349+M350</f>
        <v>765370</v>
      </c>
      <c r="N348" s="497">
        <f ca="1">N349+N350</f>
        <v>765370</v>
      </c>
      <c r="O348" s="497">
        <f t="shared" ca="1" si="59"/>
        <v>135.99808095525782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IFERROR(__xludf.DUMMYFUNCTION("IMPORTRANGE(""https://docs.google.com/spreadsheets/d/1MeEWN-I1oV_STSDYn1IFDPWt_1FKiwhDph83XaGc0o0/edit?usp=sharing"",""งบพรบ!EW58"")"),562780)</f>
        <v>562780</v>
      </c>
      <c r="M350" s="92">
        <f ca="1">IFERROR(__xludf.DUMMYFUNCTION("IMPORTRANGE(""https://docs.google.com/spreadsheets/d/1MeEWN-I1oV_STSDYn1IFDPWt_1FKiwhDph83XaGc0o0/edit?usp=sharing"",""งบพรบ!FB58"")"),765370)</f>
        <v>765370</v>
      </c>
      <c r="N350" s="92">
        <f ca="1">IFERROR(__xludf.DUMMYFUNCTION("IMPORTRANGE(""https://docs.google.com/spreadsheets/d/1MeEWN-I1oV_STSDYn1IFDPWt_1FKiwhDph83XaGc0o0/edit?usp=sharing"",""งบพรบ!FD58"")"),765370)</f>
        <v>765370</v>
      </c>
      <c r="O350" s="92">
        <f t="shared" ca="1" si="59"/>
        <v>135.99808095525782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16000</v>
      </c>
      <c r="M351" s="497">
        <f ca="1">M352+M353</f>
        <v>14500</v>
      </c>
      <c r="N351" s="497">
        <f ca="1">N352+N353</f>
        <v>14500</v>
      </c>
      <c r="O351" s="497">
        <f t="shared" ca="1" si="59"/>
        <v>90.625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IFERROR(__xludf.DUMMYFUNCTION("IMPORTRANGE(""https://docs.google.com/spreadsheets/d/1MeEWN-I1oV_STSDYn1IFDPWt_1FKiwhDph83XaGc0o0/edit?usp=sharing"",""งบพรบ!EZ58"")"),16000)</f>
        <v>16000</v>
      </c>
      <c r="M353" s="92">
        <f ca="1">IFERROR(__xludf.DUMMYFUNCTION("IMPORTRANGE(""https://docs.google.com/spreadsheets/d/1MeEWN-I1oV_STSDYn1IFDPWt_1FKiwhDph83XaGc0o0/edit?usp=sharing"",""งบพรบ!FC58"")"),14500)</f>
        <v>14500</v>
      </c>
      <c r="N353" s="92">
        <f ca="1">IFERROR(__xludf.DUMMYFUNCTION("IMPORTRANGE(""https://docs.google.com/spreadsheets/d/1MeEWN-I1oV_STSDYn1IFDPWt_1FKiwhDph83XaGc0o0/edit?usp=sharing"",""งบพรบ!FE58"")"),14500)</f>
        <v>14500</v>
      </c>
      <c r="O353" s="92">
        <f t="shared" ca="1" si="59"/>
        <v>90.625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127</v>
      </c>
      <c r="K355" s="465">
        <f ca="1">IF(I355&gt;0,J355*100/I355,0)</f>
        <v>97.692307692307693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IFERROR(__xludf.DUMMYFUNCTION("IMPORTRANGE(""https://docs.google.com/spreadsheets/d/1XWAQStnk-4SwqDmLtmXYiTMKHgktTP8We1SCoS47DrQ/edit?usp=sharing"",""จัดที่ดิน!W58"")"),147)</f>
        <v>147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IFERROR(__xludf.DUMMYFUNCTION("IMPORTRANGE(""https://docs.google.com/spreadsheets/d/1QqKyyYR6Q21VydFLVH3TRQUabQu_ym0Zz7PgGX0-kHA/edit?usp=sharing"",""แผน!EO58"")"),2000)</f>
        <v>2000</v>
      </c>
      <c r="J359" s="269">
        <f ca="1">IFERROR(__xludf.DUMMYFUNCTION("IMPORTRANGE(""https://docs.google.com/spreadsheets/d/1XWAQStnk-4SwqDmLtmXYiTMKHgktTP8We1SCoS47DrQ/edit?usp=sharing"",""จัดที่ดิน!X58"")"),2079.29)</f>
        <v>2079.29</v>
      </c>
      <c r="K359" s="497">
        <f t="shared" ca="1" si="62"/>
        <v>103.9645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IFERROR(__xludf.DUMMYFUNCTION("IMPORTRANGE(""https://docs.google.com/spreadsheets/d/1QqKyyYR6Q21VydFLVH3TRQUabQu_ym0Zz7PgGX0-kHA/edit?usp=sharing"",""แผน!EP58"")"),130)</f>
        <v>130</v>
      </c>
      <c r="J360" s="269">
        <f ca="1">IFERROR(__xludf.DUMMYFUNCTION("IMPORTRANGE(""https://docs.google.com/spreadsheets/d/1XWAQStnk-4SwqDmLtmXYiTMKHgktTP8We1SCoS47DrQ/edit?usp=sharing"",""จัดที่ดิน!Y58"")"),139)</f>
        <v>139</v>
      </c>
      <c r="K360" s="497">
        <f t="shared" ca="1" si="62"/>
        <v>106.92307692307692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IFERROR(__xludf.DUMMYFUNCTION("IMPORTRANGE(""https://docs.google.com/spreadsheets/d/1XWAQStnk-4SwqDmLtmXYiTMKHgktTP8We1SCoS47DrQ/edit?usp=sharing"",""จัดที่ดิน!Z58"")"),1711.61)</f>
        <v>1711.61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IFERROR(__xludf.DUMMYFUNCTION("IMPORTRANGE(""https://docs.google.com/spreadsheets/d/1QqKyyYR6Q21VydFLVH3TRQUabQu_ym0Zz7PgGX0-kHA/edit?usp=sharing"",""แผน!EP58"")"),130)</f>
        <v>130</v>
      </c>
      <c r="J362" s="269">
        <f ca="1">IFERROR(__xludf.DUMMYFUNCTION("IMPORTRANGE(""https://docs.google.com/spreadsheets/d/1XWAQStnk-4SwqDmLtmXYiTMKHgktTP8We1SCoS47DrQ/edit?usp=sharing"",""จัดที่ดิน!AA58"")"),127)</f>
        <v>127</v>
      </c>
      <c r="K362" s="497">
        <f t="shared" ca="1" si="62"/>
        <v>97.692307692307693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IFERROR(__xludf.DUMMYFUNCTION("IMPORTRANGE(""https://docs.google.com/spreadsheets/d/1XWAQStnk-4SwqDmLtmXYiTMKHgktTP8We1SCoS47DrQ/edit?usp=sharing"",""จัดที่ดิน!AB58"")"),1452.52)</f>
        <v>1452.52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230</v>
      </c>
      <c r="J364" s="478">
        <f ca="1">J365+J374</f>
        <v>428</v>
      </c>
      <c r="K364" s="479">
        <f t="shared" ca="1" si="62"/>
        <v>186.08695652173913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42</v>
      </c>
      <c r="K365" s="491">
        <f t="shared" ca="1" si="62"/>
        <v>140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IFERROR(__xludf.DUMMYFUNCTION("IMPORTRANGE(""https://docs.google.com/spreadsheets/d/1XWAQStnk-4SwqDmLtmXYiTMKHgktTP8We1SCoS47DrQ/edit?usp=sharing"",""จัดที่ดิน!E58"")"),61)</f>
        <v>61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IFERROR(__xludf.DUMMYFUNCTION("IMPORTRANGE(""https://docs.google.com/spreadsheets/d/1QqKyyYR6Q21VydFLVH3TRQUabQu_ym0Zz7PgGX0-kHA/edit?usp=sharing"",""แผน!EI58"")"),1000)</f>
        <v>1000</v>
      </c>
      <c r="J369" s="269">
        <f ca="1">IFERROR(__xludf.DUMMYFUNCTION("IMPORTRANGE(""https://docs.google.com/spreadsheets/d/1XWAQStnk-4SwqDmLtmXYiTMKHgktTP8We1SCoS47DrQ/edit?usp=sharing"",""จัดที่ดิน!F58"")"),1288.95)</f>
        <v>1288.95</v>
      </c>
      <c r="K369" s="497">
        <f t="shared" ca="1" si="63"/>
        <v>128.89500000000001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IFERROR(__xludf.DUMMYFUNCTION("IMPORTRANGE(""https://docs.google.com/spreadsheets/d/1QqKyyYR6Q21VydFLVH3TRQUabQu_ym0Zz7PgGX0-kHA/edit?usp=sharing"",""แผน!EJ58"")"),30)</f>
        <v>30</v>
      </c>
      <c r="J370" s="269">
        <f ca="1">IFERROR(__xludf.DUMMYFUNCTION("IMPORTRANGE(""https://docs.google.com/spreadsheets/d/1XWAQStnk-4SwqDmLtmXYiTMKHgktTP8We1SCoS47DrQ/edit?usp=sharing"",""จัดที่ดิน!G58"")"),54)</f>
        <v>54</v>
      </c>
      <c r="K370" s="497">
        <f t="shared" ca="1" si="63"/>
        <v>180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IFERROR(__xludf.DUMMYFUNCTION("IMPORTRANGE(""https://docs.google.com/spreadsheets/d/1XWAQStnk-4SwqDmLtmXYiTMKHgktTP8We1SCoS47DrQ/edit?usp=sharing"",""จัดที่ดิน!H58"")"),921.64)</f>
        <v>921.64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IFERROR(__xludf.DUMMYFUNCTION("IMPORTRANGE(""https://docs.google.com/spreadsheets/d/1QqKyyYR6Q21VydFLVH3TRQUabQu_ym0Zz7PgGX0-kHA/edit?usp=sharing"",""แผน!EJ58"")"),30)</f>
        <v>30</v>
      </c>
      <c r="J372" s="269">
        <f ca="1">IFERROR(__xludf.DUMMYFUNCTION("IMPORTRANGE(""https://docs.google.com/spreadsheets/d/1XWAQStnk-4SwqDmLtmXYiTMKHgktTP8We1SCoS47DrQ/edit?usp=sharing"",""จัดที่ดิน!I58"")"),42)</f>
        <v>42</v>
      </c>
      <c r="K372" s="497">
        <f t="shared" ca="1" si="63"/>
        <v>140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IFERROR(__xludf.DUMMYFUNCTION("IMPORTRANGE(""https://docs.google.com/spreadsheets/d/1XWAQStnk-4SwqDmLtmXYiTMKHgktTP8We1SCoS47DrQ/edit?usp=sharing"",""จัดที่ดิน!J58"")"),662.55)</f>
        <v>662.55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386</v>
      </c>
      <c r="K374" s="491">
        <f t="shared" ca="1" si="63"/>
        <v>193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IFERROR(__xludf.DUMMYFUNCTION("IMPORTRANGE(""https://docs.google.com/spreadsheets/d/1XWAQStnk-4SwqDmLtmXYiTMKHgktTP8We1SCoS47DrQ/edit?usp=sharing"",""จัดที่ดิน!AH58"")"),86)</f>
        <v>86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IFERROR(__xludf.DUMMYFUNCTION("IMPORTRANGE(""https://docs.google.com/spreadsheets/d/1QqKyyYR6Q21VydFLVH3TRQUabQu_ym0Zz7PgGX0-kHA/edit?usp=sharing"",""แผน!ET58"")"),1000)</f>
        <v>1000</v>
      </c>
      <c r="J378" s="269">
        <f ca="1">IFERROR(__xludf.DUMMYFUNCTION("IMPORTRANGE(""https://docs.google.com/spreadsheets/d/1XWAQStnk-4SwqDmLtmXYiTMKHgktTP8We1SCoS47DrQ/edit?usp=sharing"",""จัดที่ดิน!AI58"")"),790.34)</f>
        <v>790.34</v>
      </c>
      <c r="K378" s="497">
        <f t="shared" ca="1" si="64"/>
        <v>79.034000000000006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IFERROR(__xludf.DUMMYFUNCTION("IMPORTRANGE(""https://docs.google.com/spreadsheets/d/1QqKyyYR6Q21VydFLVH3TRQUabQu_ym0Zz7PgGX0-kHA/edit?usp=sharing"",""แผน!EU58"")"),200)</f>
        <v>200</v>
      </c>
      <c r="J379" s="269">
        <f ca="1">IFERROR(__xludf.DUMMYFUNCTION("IMPORTRANGE(""https://docs.google.com/spreadsheets/d/1XWAQStnk-4SwqDmLtmXYiTMKHgktTP8We1SCoS47DrQ/edit?usp=sharing"",""จัดที่ดิน!AJ58"")"),385)</f>
        <v>385</v>
      </c>
      <c r="K379" s="497">
        <f t="shared" ca="1" si="64"/>
        <v>192.5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IFERROR(__xludf.DUMMYFUNCTION("IMPORTRANGE(""https://docs.google.com/spreadsheets/d/1XWAQStnk-4SwqDmLtmXYiTMKHgktTP8We1SCoS47DrQ/edit?usp=sharing"",""จัดที่ดิน!AK58"")"),5581.07)</f>
        <v>5581.07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IFERROR(__xludf.DUMMYFUNCTION("IMPORTRANGE(""https://docs.google.com/spreadsheets/d/1QqKyyYR6Q21VydFLVH3TRQUabQu_ym0Zz7PgGX0-kHA/edit?usp=sharing"",""แผน!EU58"")"),200)</f>
        <v>200</v>
      </c>
      <c r="J381" s="269">
        <f ca="1">IFERROR(__xludf.DUMMYFUNCTION("IMPORTRANGE(""https://docs.google.com/spreadsheets/d/1XWAQStnk-4SwqDmLtmXYiTMKHgktTP8We1SCoS47DrQ/edit?usp=sharing"",""จัดที่ดิน!AL58"")"),386)</f>
        <v>386</v>
      </c>
      <c r="K381" s="497">
        <f t="shared" ca="1" si="64"/>
        <v>193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IFERROR(__xludf.DUMMYFUNCTION("IMPORTRANGE(""https://docs.google.com/spreadsheets/d/1XWAQStnk-4SwqDmLtmXYiTMKHgktTP8We1SCoS47DrQ/edit?usp=sharing"",""จัดที่ดิน!AM58"")"),5588.94)</f>
        <v>5588.94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IFERROR(__xludf.DUMMYFUNCTION("IMPORTRANGE(""https://docs.google.com/spreadsheets/d/1MeEWN-I1oV_STSDYn1IFDPWt_1FKiwhDph83XaGc0o0/edit?usp=sharing"",""งบพรบ!FG58"")"),0)</f>
        <v>0</v>
      </c>
      <c r="M394" s="92">
        <f ca="1">IFERROR(__xludf.DUMMYFUNCTION("IMPORTRANGE(""https://docs.google.com/spreadsheets/d/1MeEWN-I1oV_STSDYn1IFDPWt_1FKiwhDph83XaGc0o0/edit?usp=sharing"",""งบพรบ!FL58"")"),0)</f>
        <v>0</v>
      </c>
      <c r="N394" s="92">
        <f ca="1">IFERROR(__xludf.DUMMYFUNCTION("IMPORTRANGE(""https://docs.google.com/spreadsheets/d/1MeEWN-I1oV_STSDYn1IFDPWt_1FKiwhDph83XaGc0o0/edit?usp=sharing"",""งบพรบ!FN58"")"),0)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IFERROR(__xludf.DUMMYFUNCTION("IMPORTRANGE(""https://docs.google.com/spreadsheets/d/1MeEWN-I1oV_STSDYn1IFDPWt_1FKiwhDph83XaGc0o0/edit?usp=sharing"",""งบพรบ!FJ58"")"),0)</f>
        <v>0</v>
      </c>
      <c r="M397" s="92">
        <f ca="1">IFERROR(__xludf.DUMMYFUNCTION("IMPORTRANGE(""https://docs.google.com/spreadsheets/d/1MeEWN-I1oV_STSDYn1IFDPWt_1FKiwhDph83XaGc0o0/edit?usp=sharing"",""งบพรบ!FM58"")"),0)</f>
        <v>0</v>
      </c>
      <c r="N397" s="92">
        <f ca="1">IFERROR(__xludf.DUMMYFUNCTION("IMPORTRANGE(""https://docs.google.com/spreadsheets/d/1MeEWN-I1oV_STSDYn1IFDPWt_1FKiwhDph83XaGc0o0/edit?usp=sharing"",""งบพรบ!FO58"")"),0)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IFERROR(__xludf.DUMMYFUNCTION("IMPORTRANGE(""https://docs.google.com/spreadsheets/d/1MeEWN-I1oV_STSDYn1IFDPWt_1FKiwhDph83XaGc0o0/edit?usp=sharing"",""งบพรบ!FQ58"")"),0)</f>
        <v>0</v>
      </c>
      <c r="M407" s="92">
        <f ca="1">IFERROR(__xludf.DUMMYFUNCTION("IMPORTRANGE(""https://docs.google.com/spreadsheets/d/1MeEWN-I1oV_STSDYn1IFDPWt_1FKiwhDph83XaGc0o0/edit?usp=sharing"",""งบพรบ!FV58"")"),0)</f>
        <v>0</v>
      </c>
      <c r="N407" s="92">
        <f ca="1">IFERROR(__xludf.DUMMYFUNCTION("IMPORTRANGE(""https://docs.google.com/spreadsheets/d/1MeEWN-I1oV_STSDYn1IFDPWt_1FKiwhDph83XaGc0o0/edit?usp=sharing"",""งบพรบ!FX58"")"),0)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IFERROR(__xludf.DUMMYFUNCTION("IMPORTRANGE(""https://docs.google.com/spreadsheets/d/1MeEWN-I1oV_STSDYn1IFDPWt_1FKiwhDph83XaGc0o0/edit?usp=sharing"",""งบพรบ!FT58"")"),0)</f>
        <v>0</v>
      </c>
      <c r="M410" s="92">
        <f ca="1">IFERROR(__xludf.DUMMYFUNCTION("IMPORTRANGE(""https://docs.google.com/spreadsheets/d/1MeEWN-I1oV_STSDYn1IFDPWt_1FKiwhDph83XaGc0o0/edit?usp=sharing"",""งบพรบ!FW58"")"),0)</f>
        <v>0</v>
      </c>
      <c r="N410" s="92">
        <f ca="1">IFERROR(__xludf.DUMMYFUNCTION("IMPORTRANGE(""https://docs.google.com/spreadsheets/d/1MeEWN-I1oV_STSDYn1IFDPWt_1FKiwhDph83XaGc0o0/edit?usp=sharing"",""งบพรบ!FY58"")"),0)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839273</v>
      </c>
      <c r="M414" s="549">
        <f ca="1">M419+M444+M467+M502+M523+M544+M629+M655+M685+M737+M754+M770+M786+M805</f>
        <v>722426</v>
      </c>
      <c r="N414" s="549">
        <f>N419+N444+N467+N502+N523+N544+N629+N655+N685+N737+N754+N770+N786+N805</f>
        <v>722426</v>
      </c>
      <c r="O414" s="549">
        <f ca="1">IF(L414&gt;0,N414*100/L414,0)</f>
        <v>86.077593345669413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15</v>
      </c>
      <c r="J417" s="565">
        <f ca="1">J433</f>
        <v>15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66560</v>
      </c>
      <c r="M419" s="154">
        <f ca="1">M420+M421</f>
        <v>58848</v>
      </c>
      <c r="N419" s="154">
        <f>N420+N421</f>
        <v>58848</v>
      </c>
      <c r="O419" s="154">
        <f t="shared" ref="O419:O424" ca="1" si="71">IF(L419&gt;0,N419*100/L419,0)</f>
        <v>88.413461538461533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66560</v>
      </c>
      <c r="M421" s="92">
        <f t="shared" ca="1" si="73"/>
        <v>58848</v>
      </c>
      <c r="N421" s="92">
        <f t="shared" si="73"/>
        <v>58848</v>
      </c>
      <c r="O421" s="92">
        <f t="shared" ca="1" si="71"/>
        <v>88.413461538461533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66560</v>
      </c>
      <c r="M422" s="497">
        <f ca="1">M423+M424</f>
        <v>58848</v>
      </c>
      <c r="N422" s="497">
        <f>N423+N424</f>
        <v>58848</v>
      </c>
      <c r="O422" s="497">
        <f t="shared" ca="1" si="71"/>
        <v>88.413461538461533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IFERROR(__xludf.DUMMYFUNCTION("IMPORTRANGE(""https://docs.google.com/spreadsheets/d/1QqKyyYR6Q21VydFLVH3TRQUabQu_ym0Zz7PgGX0-kHA/edit?usp=sharing"",""แผน!EY58"")"),66560)</f>
        <v>66560</v>
      </c>
      <c r="M424" s="92">
        <f ca="1">L424-7712</f>
        <v>58848</v>
      </c>
      <c r="N424" s="92">
        <f>N425+N426+N427+N428</f>
        <v>58848</v>
      </c>
      <c r="O424" s="92">
        <f t="shared" ca="1" si="71"/>
        <v>88.413461538461533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41000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17848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IFERROR(__xludf.DUMMYFUNCTION("IMPORTRANGE(""https://docs.google.com/spreadsheets/d/1QqKyyYR6Q21VydFLVH3TRQUabQu_ym0Zz7PgGX0-kHA/edit?usp=sharing"",""แผน!FB58"")"),0)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IFERROR(__xludf.DUMMYFUNCTION("IMPORTRANGE(""https://docs.google.com/spreadsheets/d/1QqKyyYR6Q21VydFLVH3TRQUabQu_ym0Zz7PgGX0-kHA/edit?usp=sharing"",""แผน!FE58"")"),0)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IFERROR(__xludf.DUMMYFUNCTION("IMPORTRANGE(""https://docs.google.com/spreadsheets/d/1QqKyyYR6Q21VydFLVH3TRQUabQu_ym0Zz7PgGX0-kHA/edit?usp=sharing"",""แผน!FG58"")"),1)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IFERROR(__xludf.DUMMYFUNCTION("IMPORTRANGE(""https://docs.google.com/spreadsheets/d/1QqKyyYR6Q21VydFLVH3TRQUabQu_ym0Zz7PgGX0-kHA/edit?usp=sharing"",""แผน!FH58"")"),0)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IFERROR(__xludf.DUMMYFUNCTION("IMPORTRANGE(""https://docs.google.com/spreadsheets/d/1QqKyyYR6Q21VydFLVH3TRQUabQu_ym0Zz7PgGX0-kHA/edit?usp=sharing"",""แผน!FJ58"")"),0)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IFERROR(__xludf.DUMMYFUNCTION("IMPORTRANGE(""https://docs.google.com/spreadsheets/d/1QqKyyYR6Q21VydFLVH3TRQUabQu_ym0Zz7PgGX0-kHA/edit?usp=sharing"",""แผน!FM58"")"),0)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IFERROR(__xludf.DUMMYFUNCTION("IMPORTRANGE(""https://docs.google.com/spreadsheets/d/1QqKyyYR6Q21VydFLVH3TRQUabQu_ym0Zz7PgGX0-kHA/edit?usp=sharing"",""แผน!FN58"")"),0)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IFERROR(__xludf.DUMMYFUNCTION("IMPORTRANGE(""https://docs.google.com/spreadsheets/d/1QqKyyYR6Q21VydFLVH3TRQUabQu_ym0Zz7PgGX0-kHA/edit?usp=sharing"",""แผน!FO58"")"),0)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IFERROR(__xludf.DUMMYFUNCTION("IMPORTRANGE(""https://docs.google.com/spreadsheets/d/1QqKyyYR6Q21VydFLVH3TRQUabQu_ym0Zz7PgGX0-kHA/edit?usp=sharing"",""แผน!FO58"")"),0)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IFERROR(__xludf.DUMMYFUNCTION("IMPORTRANGE(""https://docs.google.com/spreadsheets/d/1QqKyyYR6Q21VydFLVH3TRQUabQu_ym0Zz7PgGX0-kHA/edit?usp=sharing"",""แผน!FN58"")"),0)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ca="1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200</v>
      </c>
      <c r="K466" s="566">
        <f ca="1">IF(I466&gt;0,J466*100/I466,0)</f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174403</v>
      </c>
      <c r="M467" s="194">
        <f ca="1">M468+M469</f>
        <v>181023</v>
      </c>
      <c r="N467" s="194">
        <f>N468+N469</f>
        <v>181023</v>
      </c>
      <c r="O467" s="194">
        <f t="shared" ref="O467:O472" ca="1" si="78">IF(L467&gt;0,N467*100/L467,0)</f>
        <v>103.79580626480049</v>
      </c>
      <c r="P467" s="194">
        <f t="shared" ref="P467:P472" ca="1" si="79">IF(M467&gt;0,N467*100/M467,0)</f>
        <v>100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174403</v>
      </c>
      <c r="M469" s="92">
        <f t="shared" ca="1" si="80"/>
        <v>181023</v>
      </c>
      <c r="N469" s="92">
        <f t="shared" si="80"/>
        <v>181023</v>
      </c>
      <c r="O469" s="92">
        <f t="shared" ca="1" si="78"/>
        <v>103.79580626480049</v>
      </c>
      <c r="P469" s="92">
        <f t="shared" ca="1" si="79"/>
        <v>100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174403</v>
      </c>
      <c r="M470" s="497">
        <f ca="1">M471+M472</f>
        <v>181023</v>
      </c>
      <c r="N470" s="497">
        <f>N471+N472</f>
        <v>181023</v>
      </c>
      <c r="O470" s="497">
        <f t="shared" ca="1" si="78"/>
        <v>103.79580626480049</v>
      </c>
      <c r="P470" s="497">
        <f t="shared" ca="1" si="79"/>
        <v>100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IFERROR(__xludf.DUMMYFUNCTION("IMPORTRANGE(""https://docs.google.com/spreadsheets/d/1QqKyyYR6Q21VydFLVH3TRQUabQu_ym0Zz7PgGX0-kHA/edit?usp=sharing"",""แผน!FS58"")"),174403)</f>
        <v>174403</v>
      </c>
      <c r="M472" s="92">
        <f ca="1">L472+6620</f>
        <v>181023</v>
      </c>
      <c r="N472" s="92">
        <f>N473+N474+N475+N476</f>
        <v>181023</v>
      </c>
      <c r="O472" s="92">
        <f t="shared" ca="1" si="78"/>
        <v>103.79580626480049</v>
      </c>
      <c r="P472" s="92">
        <f t="shared" ca="1" si="79"/>
        <v>100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32823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f>4000+124000</f>
        <v>128000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20200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IFERROR(__xludf.DUMMYFUNCTION("IMPORTRANGE(""https://docs.google.com/spreadsheets/d/1QqKyyYR6Q21VydFLVH3TRQUabQu_ym0Zz7PgGX0-kHA/edit?usp=sharing"",""แผน!FV58"")"),0)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IFERROR(__xludf.DUMMYFUNCTION("IMPORTRANGE(""https://docs.google.com/spreadsheets/d/1QqKyyYR6Q21VydFLVH3TRQUabQu_ym0Zz7PgGX0-kHA/edit?usp=sharing"",""แผน!FY58"")"),180)</f>
        <v>180</v>
      </c>
      <c r="J483" s="214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IFERROR(__xludf.DUMMYFUNCTION("IMPORTRANGE(""https://docs.google.com/spreadsheets/d/1QqKyyYR6Q21VydFLVH3TRQUabQu_ym0Zz7PgGX0-kHA/edit?usp=sharing"",""แผน!FZ58"")"),18)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IFERROR(__xludf.DUMMYFUNCTION("IMPORTRANGE(""https://docs.google.com/spreadsheets/d/1QqKyyYR6Q21VydFLVH3TRQUabQu_ym0Zz7PgGX0-kHA/edit?usp=sharing"",""แผน!GA58"")"),20)</f>
        <v>20</v>
      </c>
      <c r="J487" s="214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IFERROR(__xludf.DUMMYFUNCTION("IMPORTRANGE(""https://docs.google.com/spreadsheets/d/1QqKyyYR6Q21VydFLVH3TRQUabQu_ym0Zz7PgGX0-kHA/edit?usp=sharing"",""แผน!GB58"")"),2)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IFERROR(__xludf.DUMMYFUNCTION("IMPORTRANGE(""https://docs.google.com/spreadsheets/d/1QqKyyYR6Q21VydFLVH3TRQUabQu_ym0Zz7PgGX0-kHA/edit?usp=sharing"",""แผน!GC58"")"),1)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IFERROR(__xludf.DUMMYFUNCTION("IMPORTRANGE(""https://docs.google.com/spreadsheets/d/1QqKyyYR6Q21VydFLVH3TRQUabQu_ym0Zz7PgGX0-kHA/edit?usp=sharing"",""แผน!FY58"")"),180)</f>
        <v>180</v>
      </c>
      <c r="J495" s="214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180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IFERROR(__xludf.DUMMYFUNCTION("IMPORTRANGE(""https://docs.google.com/spreadsheets/d/1QqKyyYR6Q21VydFLVH3TRQUabQu_ym0Zz7PgGX0-kHA/edit?usp=sharing"",""แผน!GA58"")"),20)</f>
        <v>20</v>
      </c>
      <c r="J498" s="214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20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IFERROR(__xludf.DUMMYFUNCTION("IMPORTRANGE(""https://docs.google.com/spreadsheets/d/1QqKyyYR6Q21VydFLVH3TRQUabQu_ym0Zz7PgGX0-kHA/edit?usp=sharing"",""แผน!GQ58"")"),0)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IFERROR(__xludf.DUMMYFUNCTION("IMPORTRANGE(""https://docs.google.com/spreadsheets/d/1QqKyyYR6Q21VydFLVH3TRQUabQu_ym0Zz7PgGX0-kHA/edit?usp=sharing"",""แผน!GT58"")"),0)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IFERROR(__xludf.DUMMYFUNCTION("IMPORTRANGE(""https://docs.google.com/spreadsheets/d/1QqKyyYR6Q21VydFLVH3TRQUabQu_ym0Zz7PgGX0-kHA/edit?usp=sharing"",""แผน!GV58"")"),0)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IFERROR(__xludf.DUMMYFUNCTION("IMPORTRANGE(""https://docs.google.com/spreadsheets/d/1QqKyyYR6Q21VydFLVH3TRQUabQu_ym0Zz7PgGX0-kHA/edit?usp=sharing"",""แผน!GW58"")"),0)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IFERROR(__xludf.DUMMYFUNCTION("IMPORTRANGE(""https://docs.google.com/spreadsheets/d/1QqKyyYR6Q21VydFLVH3TRQUabQu_ym0Zz7PgGX0-kHA/edit?usp=sharing"",""แผน!GX58"")"),0)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IFERROR(__xludf.DUMMYFUNCTION("IMPORTRANGE(""https://docs.google.com/spreadsheets/d/1QqKyyYR6Q21VydFLVH3TRQUabQu_ym0Zz7PgGX0-kHA/edit?usp=sharing"",""แผน!GY58"")"),0)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IFERROR(__xludf.DUMMYFUNCTION("IMPORTRANGE(""https://docs.google.com/spreadsheets/d/1QqKyyYR6Q21VydFLVH3TRQUabQu_ym0Zz7PgGX0-kHA/edit?usp=sharing"",""แผน!GZ58"")"),0)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265400</v>
      </c>
      <c r="M544" s="154">
        <f ca="1">M545+M546</f>
        <v>256938</v>
      </c>
      <c r="N544" s="154">
        <f>N545+N546</f>
        <v>256938</v>
      </c>
      <c r="O544" s="154">
        <f t="shared" ref="O544:O549" ca="1" si="88">IF(L544&gt;0,N544*100/L544,0)</f>
        <v>96.811605124340616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265400</v>
      </c>
      <c r="M546" s="92">
        <f ca="1">M549+M556</f>
        <v>256938</v>
      </c>
      <c r="N546" s="92">
        <f>N549+N556</f>
        <v>256938</v>
      </c>
      <c r="O546" s="92">
        <f t="shared" ca="1" si="88"/>
        <v>96.811605124340616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265400</v>
      </c>
      <c r="M547" s="497">
        <f ca="1">M548+M549</f>
        <v>256938</v>
      </c>
      <c r="N547" s="497">
        <f>N548+N549</f>
        <v>256938</v>
      </c>
      <c r="O547" s="497">
        <f t="shared" ca="1" si="88"/>
        <v>96.811605124340616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IFERROR(__xludf.DUMMYFUNCTION("IMPORTRANGE(""https://docs.google.com/spreadsheets/d/1QqKyyYR6Q21VydFLVH3TRQUabQu_ym0Zz7PgGX0-kHA/edit?usp=sharing"",""แผน!HB58"")"),265400)</f>
        <v>265400</v>
      </c>
      <c r="M549" s="92">
        <f ca="1">L549-8462</f>
        <v>256938</v>
      </c>
      <c r="N549" s="92">
        <f>N550+N551+N552+N553+N554</f>
        <v>256938</v>
      </c>
      <c r="O549" s="92">
        <f t="shared" ca="1" si="88"/>
        <v>96.811605124340616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142580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f>62264+2534+35952+13608</f>
        <v>114358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IFERROR(__xludf.DUMMYFUNCTION("IMPORTRANGE(""https://docs.google.com/spreadsheets/d/1QqKyyYR6Q21VydFLVH3TRQUabQu_ym0Zz7PgGX0-kHA/edit?usp=sharing"",""แผน!HF58"")"),0)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IFERROR(__xludf.DUMMYFUNCTION("IMPORTRANGE(""https://docs.google.com/spreadsheets/d/1QqKyyYR6Q21VydFLVH3TRQUabQu_ym0Zz7PgGX0-kHA/edit?usp=sharing"",""แผน!HH58"")"),0)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IFERROR(__xludf.DUMMYFUNCTION("IMPORTRANGE(""https://docs.google.com/spreadsheets/d/1QqKyyYR6Q21VydFLVH3TRQUabQu_ym0Zz7PgGX0-kHA/edit?usp=sharing"",""แผน!HG58"")"),0)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IFERROR(__xludf.DUMMYFUNCTION("IMPORTRANGE(""https://docs.google.com/spreadsheets/d/1QqKyyYR6Q21VydFLVH3TRQUabQu_ym0Zz7PgGX0-kHA/edit?usp=sharing"",""แผน!HH58"")"),0)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IFERROR(__xludf.DUMMYFUNCTION("IMPORTRANGE(""https://docs.google.com/spreadsheets/d/1QqKyyYR6Q21VydFLVH3TRQUabQu_ym0Zz7PgGX0-kHA/edit?usp=sharing"",""แผน!HG58"")"),0)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IFERROR(__xludf.DUMMYFUNCTION("IMPORTRANGE(""https://docs.google.com/spreadsheets/d/1QqKyyYR6Q21VydFLVH3TRQUabQu_ym0Zz7PgGX0-kHA/edit?usp=sharing"",""แผน!HH58"")"),0)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IFERROR(__xludf.DUMMYFUNCTION("IMPORTRANGE(""https://docs.google.com/spreadsheets/d/1QqKyyYR6Q21VydFLVH3TRQUabQu_ym0Zz7PgGX0-kHA/edit?usp=sharing"",""แผน!HG58"")"),0)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3209.04</v>
      </c>
      <c r="J592" s="703">
        <f>J593</f>
        <v>3209</v>
      </c>
      <c r="K592" s="672">
        <f ca="1">IF(I592&gt;0,J592*100/I592,0)</f>
        <v>99.998753521302319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2">
        <f>J595+J603+J609</f>
        <v>3209</v>
      </c>
      <c r="K593" s="410">
        <f ca="1">IF(I593&gt;0,J593*100/I593,0)</f>
        <v>99.998753521302319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IFERROR(__xludf.DUMMYFUNCTION("IMPORTRANGE(""https://docs.google.com/spreadsheets/d/1QqKyyYR6Q21VydFLVH3TRQUabQu_ym0Zz7PgGX0-kHA/edit?usp=sharing"",""แผน!HI58"")"),178)</f>
        <v>178</v>
      </c>
      <c r="J594" s="192">
        <f>J596+J604+J610</f>
        <v>178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2705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144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1510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84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1195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60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440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30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272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14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168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16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64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4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90</v>
      </c>
      <c r="J628" s="736">
        <f ca="1">J651</f>
        <v>3</v>
      </c>
      <c r="K628" s="737">
        <f ca="1">IF(I628&gt;0,J628*100/I628,0)</f>
        <v>3.3333333333333335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332910</v>
      </c>
      <c r="M629" s="194">
        <f ca="1">M630+M631</f>
        <v>225617</v>
      </c>
      <c r="N629" s="194">
        <f>N630+N631</f>
        <v>225617</v>
      </c>
      <c r="O629" s="194">
        <f t="shared" ref="O629:O634" ca="1" si="90">IF(L629&gt;0,N629*100/L629,0)</f>
        <v>67.771169385119094</v>
      </c>
      <c r="P629" s="194">
        <f t="shared" ref="P629:P634" ca="1" si="91">IF(M629&gt;0,N629*100/M629,0)</f>
        <v>100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332910</v>
      </c>
      <c r="M631" s="92">
        <f t="shared" ca="1" si="92"/>
        <v>225617</v>
      </c>
      <c r="N631" s="92">
        <f t="shared" si="92"/>
        <v>225617</v>
      </c>
      <c r="O631" s="92">
        <f t="shared" ca="1" si="90"/>
        <v>67.771169385119094</v>
      </c>
      <c r="P631" s="92">
        <f t="shared" ca="1" si="91"/>
        <v>100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332910</v>
      </c>
      <c r="M632" s="497">
        <f ca="1">M633+M634</f>
        <v>225617</v>
      </c>
      <c r="N632" s="497">
        <f>N633+N634</f>
        <v>225617</v>
      </c>
      <c r="O632" s="497">
        <f t="shared" ca="1" si="90"/>
        <v>67.771169385119094</v>
      </c>
      <c r="P632" s="497">
        <f t="shared" ca="1" si="91"/>
        <v>100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IFERROR(__xludf.DUMMYFUNCTION("IMPORTRANGE(""https://docs.google.com/spreadsheets/d/1QqKyyYR6Q21VydFLVH3TRQUabQu_ym0Zz7PgGX0-kHA/edit?usp=sharing"",""แผน!HN58"")"),332910)</f>
        <v>332910</v>
      </c>
      <c r="M634" s="92">
        <f ca="1">L634-53540-53753</f>
        <v>225617</v>
      </c>
      <c r="N634" s="92">
        <f>N635+N636+N637+N638</f>
        <v>225617</v>
      </c>
      <c r="O634" s="92">
        <f t="shared" ca="1" si="90"/>
        <v>67.771169385119094</v>
      </c>
      <c r="P634" s="92">
        <f t="shared" ca="1" si="91"/>
        <v>100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142132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f>46579+36906</f>
        <v>83485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IFERROR(__xludf.DUMMYFUNCTION("IMPORTRANGE(""https://docs.google.com/spreadsheets/d/1QqKyyYR6Q21VydFLVH3TRQUabQu_ym0Zz7PgGX0-kHA/edit?usp=sharing"",""แผน!HQ58"")"),0)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IFERROR(__xludf.DUMMYFUNCTION("IMPORTRANGE(""https://docs.google.com/spreadsheets/d/1QqKyyYR6Q21VydFLVH3TRQUabQu_ym0Zz7PgGX0-kHA/edit?usp=sharing"",""แผน!HR58"")"),0)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IFERROR(__xludf.DUMMYFUNCTION("IMPORTRANGE(""https://docs.google.com/spreadsheets/d/1QqKyyYR6Q21VydFLVH3TRQUabQu_ym0Zz7PgGX0-kHA/edit?usp=sharing"",""แผน!HR58"")"),0)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IFERROR(__xludf.DUMMYFUNCTION("IMPORTRANGE(""https://docs.google.com/spreadsheets/d/1XWAQStnk-4SwqDmLtmXYiTMKHgktTP8We1SCoS47DrQ/edit?usp=sharing"",""จัดที่ดิน!AS58"")"),17)</f>
        <v>17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IFERROR(__xludf.DUMMYFUNCTION("IMPORTRANGE(""https://docs.google.com/spreadsheets/d/1XWAQStnk-4SwqDmLtmXYiTMKHgktTP8We1SCoS47DrQ/edit?usp=sharing"",""จัดที่ดิน!AT58"")"),3.16)</f>
        <v>3.16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IFERROR(__xludf.DUMMYFUNCTION("IMPORTRANGE(""https://docs.google.com/spreadsheets/d/1QqKyyYR6Q21VydFLVH3TRQUabQu_ym0Zz7PgGX0-kHA/edit?usp=sharing"",""แผน!HS58"")"),90)</f>
        <v>90</v>
      </c>
      <c r="J647" s="269">
        <f ca="1">IFERROR(__xludf.DUMMYFUNCTION("IMPORTRANGE(""https://docs.google.com/spreadsheets/d/1XWAQStnk-4SwqDmLtmXYiTMKHgktTP8We1SCoS47DrQ/edit?usp=sharing"",""จัดที่ดิน!AU58"")"),93)</f>
        <v>93</v>
      </c>
      <c r="K647" s="162">
        <f t="shared" ca="1" si="93"/>
        <v>103.33333333333333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IFERROR(__xludf.DUMMYFUNCTION("IMPORTRANGE(""https://docs.google.com/spreadsheets/d/1XWAQStnk-4SwqDmLtmXYiTMKHgktTP8We1SCoS47DrQ/edit?usp=sharing"",""จัดที่ดิน!AV58"")"),43.47)</f>
        <v>43.47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IFERROR(__xludf.DUMMYFUNCTION("IMPORTRANGE(""https://docs.google.com/spreadsheets/d/1QqKyyYR6Q21VydFLVH3TRQUabQu_ym0Zz7PgGX0-kHA/edit?usp=sharing"",""แผน!HS58"")"),90)</f>
        <v>90</v>
      </c>
      <c r="J649" s="269">
        <f ca="1">IFERROR(__xludf.DUMMYFUNCTION("IMPORTRANGE(""https://docs.google.com/spreadsheets/d/1XWAQStnk-4SwqDmLtmXYiTMKHgktTP8We1SCoS47DrQ/edit?usp=sharing"",""จัดที่ดิน!AW58"")"),1)</f>
        <v>1</v>
      </c>
      <c r="K649" s="162">
        <f t="shared" ca="1" si="93"/>
        <v>1.1111111111111112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IFERROR(__xludf.DUMMYFUNCTION("IMPORTRANGE(""https://docs.google.com/spreadsheets/d/1XWAQStnk-4SwqDmLtmXYiTMKHgktTP8We1SCoS47DrQ/edit?usp=sharing"",""จัดที่ดิน!AX58"")"),3.95)</f>
        <v>3.95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IFERROR(__xludf.DUMMYFUNCTION("IMPORTRANGE(""https://docs.google.com/spreadsheets/d/1QqKyyYR6Q21VydFLVH3TRQUabQu_ym0Zz7PgGX0-kHA/edit?usp=sharing"",""แผน!HS58"")"),90)</f>
        <v>90</v>
      </c>
      <c r="J651" s="269">
        <f ca="1">IFERROR(__xludf.DUMMYFUNCTION("IMPORTRANGE(""https://docs.google.com/spreadsheets/d/1XWAQStnk-4SwqDmLtmXYiTMKHgktTP8We1SCoS47DrQ/edit?usp=sharing"",""จัดที่ดิน!AY58"")"),3)</f>
        <v>3</v>
      </c>
      <c r="K651" s="162">
        <f t="shared" ca="1" si="93"/>
        <v>3.3333333333333335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 t="str">
        <f ca="1">IFERROR(__xludf.DUMMYFUNCTION("IMPORTRANGE(""https://docs.google.com/spreadsheets/d/1RCyyhEJggpv17xgUrW2PS9v7yLqUjmy4YI2wzp0s_Mw/edit#gid=0"",""Sheet1!b4"")"),"ข้อมูลจาก ALRO Land Online (ข้อมูล ณ วันที่ 2 ต.ค. 66 เวลา 08.00 น.)")</f>
        <v>ข้อมูลจาก ALRO Land Online (ข้อมูล ณ วันที่ 2 ต.ค. 66 เวลา 08.00 น.)</v>
      </c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IFERROR(__xludf.DUMMYFUNCTION("IMPORTRANGE(""https://docs.google.com/spreadsheets/d/1XWAQStnk-4SwqDmLtmXYiTMKHgktTP8We1SCoS47DrQ/edit?usp=sharing"",""จัดที่ดิน!AZ58"")"),0.8425)</f>
        <v>0.84250000000000003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IFERROR(__xludf.DUMMYFUNCTION("IMPORTRANGE(""https://docs.google.com/spreadsheets/d/1QqKyyYR6Q21VydFLVH3TRQUabQu_ym0Zz7PgGX0-kHA/edit?usp=sharing"",""แผน!HV58"")"),0)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IFERROR(__xludf.DUMMYFUNCTION("IMPORTRANGE(""https://docs.google.com/spreadsheets/d/1QqKyyYR6Q21VydFLVH3TRQUabQu_ym0Zz7PgGX0-kHA/edit?usp=sharing"",""แผน!HZ58"")"),0)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IFERROR(__xludf.DUMMYFUNCTION("IMPORTRANGE(""https://docs.google.com/spreadsheets/d/1QqKyyYR6Q21VydFLVH3TRQUabQu_ym0Zz7PgGX0-kHA/edit?usp=sharing"",""แผน!HZ58"")"),0)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0</v>
      </c>
      <c r="M685" s="194">
        <f>M686+M687</f>
        <v>0</v>
      </c>
      <c r="N685" s="194">
        <f>N686+N687</f>
        <v>0</v>
      </c>
      <c r="O685" s="194">
        <f ca="1">IF(L685&gt;0,N685*100/L685,0)</f>
        <v>0</v>
      </c>
      <c r="P685" s="194">
        <f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0</v>
      </c>
      <c r="M687" s="92">
        <f t="shared" si="97"/>
        <v>0</v>
      </c>
      <c r="N687" s="92">
        <f t="shared" si="97"/>
        <v>0</v>
      </c>
      <c r="O687" s="92">
        <f ca="1">IF(L687&gt;0,N687*100/L687,0)</f>
        <v>0</v>
      </c>
      <c r="P687" s="92">
        <f>IF(M687&gt;0,N687*100/M687,0)</f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0</v>
      </c>
      <c r="M688" s="497">
        <f>M689+M690</f>
        <v>0</v>
      </c>
      <c r="N688" s="497">
        <f>N689+N690</f>
        <v>0</v>
      </c>
      <c r="O688" s="497">
        <f ca="1">IF(L688&gt;0,N688*100/L688,0)</f>
        <v>0</v>
      </c>
      <c r="P688" s="497">
        <f>IF(M688&gt;0,N688*100/M688,0)</f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IFERROR(__xludf.DUMMYFUNCTION("IMPORTRANGE(""https://docs.google.com/spreadsheets/d/1QqKyyYR6Q21VydFLVH3TRQUabQu_ym0Zz7PgGX0-kHA/edit?usp=sharing"",""แผน!HW58"")"),0)</f>
        <v>0</v>
      </c>
      <c r="M690" s="92">
        <v>0</v>
      </c>
      <c r="N690" s="92">
        <f>N691+N692+N693+N694</f>
        <v>0</v>
      </c>
      <c r="O690" s="92">
        <f ca="1">IF(L690&gt;0,N690*100/L690,0)</f>
        <v>0</v>
      </c>
      <c r="P690" s="92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69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69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0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69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4">
        <f ca="1">IF(I721&gt;0,J721*100/I721,0)</f>
        <v>0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4">
        <f ca="1">IF(I722&gt;0,J722*100/I722,0)</f>
        <v>0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69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ca="1">IF(I723&gt;0,J723*100/I723,0)</f>
        <v>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69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ca="1">IF(I725&gt;0,J725*100/I725,0)</f>
        <v>0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69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ca="1">IF(I726&gt;0,J726*100/I726,0)</f>
        <v>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69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ca="1">IF(I728&gt;0,J728*100/I728,0)</f>
        <v>0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IFERROR(__xludf.DUMMYFUNCTION("IMPORTRANGE(""https://docs.google.com/spreadsheets/d/1QqKyyYR6Q21VydFLVH3TRQUabQu_ym0Zz7PgGX0-kHA/edit?usp=sharing"",""แผน!JJ58"")"),0)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IFERROR(__xludf.DUMMYFUNCTION("IMPORTRANGE(""https://docs.google.com/spreadsheets/d/1QqKyyYR6Q21VydFLVH3TRQUabQu_ym0Zz7PgGX0-kHA/edit?usp=sharing"",""แผน!JN58"")"),0)</f>
        <v>0</v>
      </c>
      <c r="J800" s="183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IFERROR(__xludf.DUMMYFUNCTION("IMPORTRANGE(""https://docs.google.com/spreadsheets/d/19vJNZY_5yjcGF2XGBMNZRCAIB0Kwfpjp8YEOfu-bneM/edit?usp=sharing"",""งานกองทุน!D58"")"),2329000)</f>
        <v>2329000</v>
      </c>
      <c r="J821" s="269">
        <f ca="1">IFERROR(__xludf.DUMMYFUNCTION("IMPORTRANGE(""https://docs.google.com/spreadsheets/d/19vJNZY_5yjcGF2XGBMNZRCAIB0Kwfpjp8YEOfu-bneM/edit?usp=sharing"",""งานกองทุน!F58"")"),2279000)</f>
        <v>2279000</v>
      </c>
      <c r="K821" s="497">
        <f t="shared" ref="K821:K828" ca="1" si="113">IF(I821&gt;0,J821*100/I821,0)</f>
        <v>97.853155860884499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IFERROR(__xludf.DUMMYFUNCTION("IMPORTRANGE(""https://docs.google.com/spreadsheets/d/19vJNZY_5yjcGF2XGBMNZRCAIB0Kwfpjp8YEOfu-bneM/edit?usp=sharing"",""งานกองทุน!C58"")"),110)</f>
        <v>110</v>
      </c>
      <c r="J822" s="269">
        <f ca="1">IFERROR(__xludf.DUMMYFUNCTION("IMPORTRANGE(""https://docs.google.com/spreadsheets/d/19vJNZY_5yjcGF2XGBMNZRCAIB0Kwfpjp8YEOfu-bneM/edit?usp=sharing"",""งานกองทุน!E58"")"),108)</f>
        <v>108</v>
      </c>
      <c r="K822" s="497">
        <f t="shared" ca="1" si="113"/>
        <v>98.181818181818187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69">
        <f ca="1">IFERROR(__xludf.DUMMYFUNCTION("IMPORTRANGE(""https://docs.google.com/spreadsheets/d/19vJNZY_5yjcGF2XGBMNZRCAIB0Kwfpjp8YEOfu-bneM/edit?usp=sharing"",""งานกองทุน!K58"")"),308447.81)</f>
        <v>308447.81</v>
      </c>
      <c r="K823" s="497">
        <f t="shared" ca="1" si="113"/>
        <v>31.933213732789461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IFERROR(__xludf.DUMMYFUNCTION("IMPORTRANGE(""https://docs.google.com/spreadsheets/d/19vJNZY_5yjcGF2XGBMNZRCAIB0Kwfpjp8YEOfu-bneM/edit?usp=sharing"",""งานกองทุน!H58"")"),37)</f>
        <v>37</v>
      </c>
      <c r="J824" s="269">
        <f ca="1">IFERROR(__xludf.DUMMYFUNCTION("IMPORTRANGE(""https://docs.google.com/spreadsheets/d/19vJNZY_5yjcGF2XGBMNZRCAIB0Kwfpjp8YEOfu-bneM/edit?usp=sharing"",""งานกองทุน!J58"")"),21)</f>
        <v>21</v>
      </c>
      <c r="K824" s="497">
        <f t="shared" ca="1" si="113"/>
        <v>56.756756756756758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IFERROR(__xludf.DUMMYFUNCTION("IMPORTRANGE(""https://docs.google.com/spreadsheets/d/19vJNZY_5yjcGF2XGBMNZRCAIB0Kwfpjp8YEOfu-bneM/edit?usp=sharing"",""งานกองทุน!N58"")"),0)</f>
        <v>0</v>
      </c>
      <c r="J825" s="269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113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IFERROR(__xludf.DUMMYFUNCTION("IMPORTRANGE(""https://docs.google.com/spreadsheets/d/19vJNZY_5yjcGF2XGBMNZRCAIB0Kwfpjp8YEOfu-bneM/edit?usp=sharing"",""งานกองทุน!M58"")"),0)</f>
        <v>0</v>
      </c>
      <c r="J826" s="269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113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IFERROR(__xludf.DUMMYFUNCTION("IMPORTRANGE(""https://docs.google.com/spreadsheets/d/19vJNZY_5yjcGF2XGBMNZRCAIB0Kwfpjp8YEOfu-bneM/edit?usp=sharing"",""งานกองทุน!S58"")"),3330000)</f>
        <v>3330000</v>
      </c>
      <c r="J827" s="269">
        <f ca="1">IFERROR(__xludf.DUMMYFUNCTION("IMPORTRANGE(""https://docs.google.com/spreadsheets/d/19vJNZY_5yjcGF2XGBMNZRCAIB0Kwfpjp8YEOfu-bneM/edit?usp=sharing"",""งานกองทุน!U58"")"),3330000)</f>
        <v>3330000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IFERROR(__xludf.DUMMYFUNCTION("IMPORTRANGE(""https://docs.google.com/spreadsheets/d/19vJNZY_5yjcGF2XGBMNZRCAIB0Kwfpjp8YEOfu-bneM/edit?usp=sharing"",""งานกองทุน!T58"")"),124)</f>
        <v>124</v>
      </c>
      <c r="K828" s="502">
        <f t="shared" ca="1" si="113"/>
        <v>93.233082706766922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54D2C-EBB9-42B5-84AC-F10057735BFD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345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3293010</v>
      </c>
      <c r="M8" s="21">
        <f ca="1">M9+M10</f>
        <v>3293095.38</v>
      </c>
      <c r="N8" s="21">
        <f ca="1">N9+N10</f>
        <v>3293095.38</v>
      </c>
      <c r="O8" s="21">
        <f t="shared" ref="O8:O16" ca="1" si="0">IF(L8&gt;0,N8*100/L8,0)</f>
        <v>100.00259276467426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3293010</v>
      </c>
      <c r="M10" s="29">
        <f t="shared" ca="1" si="2"/>
        <v>3293095.38</v>
      </c>
      <c r="N10" s="29">
        <f t="shared" ca="1" si="2"/>
        <v>3293095.38</v>
      </c>
      <c r="O10" s="29">
        <f t="shared" ca="1" si="0"/>
        <v>100.00259276467426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3119610</v>
      </c>
      <c r="M11" s="497">
        <f ca="1">M12+M13</f>
        <v>3119695.38</v>
      </c>
      <c r="N11" s="497">
        <f ca="1">N12+N13</f>
        <v>3119695.38</v>
      </c>
      <c r="O11" s="497">
        <f t="shared" ca="1" si="0"/>
        <v>100.0027368805716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3119610</v>
      </c>
      <c r="M13" s="92">
        <f t="shared" ca="1" si="3"/>
        <v>3119695.38</v>
      </c>
      <c r="N13" s="92">
        <f t="shared" ca="1" si="3"/>
        <v>3119695.38</v>
      </c>
      <c r="O13" s="92">
        <f t="shared" ca="1" si="0"/>
        <v>100.0027368805716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173400</v>
      </c>
      <c r="M14" s="497">
        <f ca="1">M15+M16</f>
        <v>173400</v>
      </c>
      <c r="N14" s="497">
        <f ca="1">N15+N16</f>
        <v>173400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173400</v>
      </c>
      <c r="M16" s="51">
        <f t="shared" ca="1" si="4"/>
        <v>173400</v>
      </c>
      <c r="N16" s="51">
        <f t="shared" ca="1" si="4"/>
        <v>173400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2769500</v>
      </c>
      <c r="M18" s="21">
        <f ca="1">M19+M20</f>
        <v>2838900.38</v>
      </c>
      <c r="N18" s="21">
        <f ca="1">N19+N20</f>
        <v>2838900.38</v>
      </c>
      <c r="O18" s="21">
        <f t="shared" ref="O18:O26" ca="1" si="5">IF(L18&gt;0,N18*100/L18,0)</f>
        <v>102.50588120599386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2769500</v>
      </c>
      <c r="M20" s="29">
        <f t="shared" ca="1" si="7"/>
        <v>2838900.38</v>
      </c>
      <c r="N20" s="29">
        <f t="shared" ca="1" si="7"/>
        <v>2838900.38</v>
      </c>
      <c r="O20" s="29">
        <f t="shared" ca="1" si="5"/>
        <v>102.50588120599386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2596100</v>
      </c>
      <c r="M21" s="497">
        <f ca="1">M22+M23</f>
        <v>2665500.38</v>
      </c>
      <c r="N21" s="497">
        <f ca="1">N22+N23</f>
        <v>2665500.38</v>
      </c>
      <c r="O21" s="497">
        <f t="shared" ca="1" si="5"/>
        <v>102.67325526751667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2596100</v>
      </c>
      <c r="M23" s="92">
        <f t="shared" ca="1" si="8"/>
        <v>2665500.38</v>
      </c>
      <c r="N23" s="92">
        <f t="shared" ca="1" si="8"/>
        <v>2665500.38</v>
      </c>
      <c r="O23" s="92">
        <f t="shared" ca="1" si="5"/>
        <v>102.67325526751667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173400</v>
      </c>
      <c r="M24" s="497">
        <f ca="1">M25+M26</f>
        <v>173400</v>
      </c>
      <c r="N24" s="497">
        <f ca="1">N25+N26</f>
        <v>173400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173400</v>
      </c>
      <c r="M26" s="51">
        <f t="shared" ca="1" si="9"/>
        <v>173400</v>
      </c>
      <c r="N26" s="51">
        <f t="shared" ca="1" si="9"/>
        <v>173400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523510</v>
      </c>
      <c r="M28" s="21">
        <f ca="1">M29+M30</f>
        <v>454195</v>
      </c>
      <c r="N28" s="21">
        <f>N29+N30</f>
        <v>454195</v>
      </c>
      <c r="O28" s="21">
        <f t="shared" ref="O28:O37" ca="1" si="10">IF(L28&gt;0,N28*100/L28,0)</f>
        <v>86.759565242306735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523510</v>
      </c>
      <c r="M30" s="29">
        <f t="shared" ca="1" si="12"/>
        <v>454195</v>
      </c>
      <c r="N30" s="29">
        <f t="shared" si="12"/>
        <v>454195</v>
      </c>
      <c r="O30" s="29">
        <f t="shared" ca="1" si="10"/>
        <v>86.759565242306735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523510</v>
      </c>
      <c r="M31" s="497">
        <f ca="1">M32+M33</f>
        <v>454195</v>
      </c>
      <c r="N31" s="497">
        <f>N32+N33</f>
        <v>454195</v>
      </c>
      <c r="O31" s="497">
        <f t="shared" ca="1" si="10"/>
        <v>86.759565242306735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523510</v>
      </c>
      <c r="M33" s="92">
        <f t="shared" ca="1" si="13"/>
        <v>454195</v>
      </c>
      <c r="N33" s="92">
        <f t="shared" si="13"/>
        <v>454195</v>
      </c>
      <c r="O33" s="92">
        <f t="shared" ca="1" si="10"/>
        <v>86.759565242306735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2769500</v>
      </c>
      <c r="M37" s="58">
        <f ca="1">M41+M53+M66+M88+M119+M132+M149+M165+M181+M261+M277+M298+M315+M328+M345+M389+M402</f>
        <v>2838900.38</v>
      </c>
      <c r="N37" s="58">
        <f ca="1">N41+N53+N66+N88+N119+N132+N149+N165+N181+N261+N277+N298+N315+N328+N345+N389+N402</f>
        <v>2838900.38</v>
      </c>
      <c r="O37" s="58">
        <f t="shared" ca="1" si="10"/>
        <v>102.50588120599386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314150</v>
      </c>
      <c r="M41" s="84">
        <f ca="1">M42+M43</f>
        <v>326537</v>
      </c>
      <c r="N41" s="84">
        <f ca="1">N42+N43</f>
        <v>326537</v>
      </c>
      <c r="O41" s="84">
        <f t="shared" ref="O41:O49" ca="1" si="15">IF(L41&gt;0,N41*100/L41,0)</f>
        <v>103.94302084991246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314150</v>
      </c>
      <c r="M43" s="91">
        <f t="shared" ca="1" si="17"/>
        <v>326537</v>
      </c>
      <c r="N43" s="91">
        <f t="shared" ca="1" si="17"/>
        <v>326537</v>
      </c>
      <c r="O43" s="91">
        <f t="shared" ca="1" si="15"/>
        <v>103.94302084991246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314150</v>
      </c>
      <c r="M44" s="497">
        <f ca="1">M45+M46</f>
        <v>326537</v>
      </c>
      <c r="N44" s="497">
        <f ca="1">N45+N46</f>
        <v>326537</v>
      </c>
      <c r="O44" s="497">
        <f t="shared" ca="1" si="15"/>
        <v>103.94302084991246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IFERROR(__xludf.DUMMYFUNCTION("IMPORTRANGE(""https://docs.google.com/spreadsheets/d/1MeEWN-I1oV_STSDYn1IFDPWt_1FKiwhDph83XaGc0o0/edit?usp=sharing"",""งบพรบ!M59"")"),314150)</f>
        <v>314150</v>
      </c>
      <c r="M46" s="92">
        <f ca="1">IFERROR(__xludf.DUMMYFUNCTION("IMPORTRANGE(""https://docs.google.com/spreadsheets/d/1MeEWN-I1oV_STSDYn1IFDPWt_1FKiwhDph83XaGc0o0/edit?usp=sharing"",""งบพรบ!R59"")"),326537)</f>
        <v>326537</v>
      </c>
      <c r="N46" s="92">
        <f ca="1">IFERROR(__xludf.DUMMYFUNCTION("IMPORTRANGE(""https://docs.google.com/spreadsheets/d/1MeEWN-I1oV_STSDYn1IFDPWt_1FKiwhDph83XaGc0o0/edit?usp=sharing"",""งบพรบ!T59"")"),326537)</f>
        <v>326537</v>
      </c>
      <c r="O46" s="92">
        <f t="shared" ca="1" si="15"/>
        <v>103.94302084991246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IFERROR(__xludf.DUMMYFUNCTION("IMPORTRANGE(""https://docs.google.com/spreadsheets/d/1MeEWN-I1oV_STSDYn1IFDPWt_1FKiwhDph83XaGc0o0/edit?usp=sharing"",""งบพรบ!P59"")"),0)</f>
        <v>0</v>
      </c>
      <c r="M49" s="51">
        <f ca="1">IFERROR(__xludf.DUMMYFUNCTION("IMPORTRANGE(""https://docs.google.com/spreadsheets/d/1MeEWN-I1oV_STSDYn1IFDPWt_1FKiwhDph83XaGc0o0/edit?usp=sharing"",""งบพรบ!S59"")"),0)</f>
        <v>0</v>
      </c>
      <c r="N49" s="51">
        <f ca="1">IFERROR(__xludf.DUMMYFUNCTION("IMPORTRANGE(""https://docs.google.com/spreadsheets/d/1MeEWN-I1oV_STSDYn1IFDPWt_1FKiwhDph83XaGc0o0/edit?usp=sharing"",""งบพรบ!U59"")"),0)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647000</v>
      </c>
      <c r="M53" s="115">
        <f ca="1">M54+M55</f>
        <v>619703.38</v>
      </c>
      <c r="N53" s="115">
        <f ca="1">N54+N55</f>
        <v>619703.38</v>
      </c>
      <c r="O53" s="115">
        <f t="shared" ref="O53:O61" ca="1" si="18">IF(L53&gt;0,N53*100/L53,0)</f>
        <v>95.78104791344667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647000</v>
      </c>
      <c r="M55" s="122">
        <f t="shared" ca="1" si="20"/>
        <v>619703.38</v>
      </c>
      <c r="N55" s="122">
        <f t="shared" ca="1" si="20"/>
        <v>619703.38</v>
      </c>
      <c r="O55" s="122">
        <f t="shared" ca="1" si="18"/>
        <v>95.78104791344667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647000</v>
      </c>
      <c r="M56" s="497">
        <f ca="1">M57+M58</f>
        <v>619703.38</v>
      </c>
      <c r="N56" s="497">
        <f ca="1">N57+N58</f>
        <v>619703.38</v>
      </c>
      <c r="O56" s="497">
        <f t="shared" ca="1" si="18"/>
        <v>95.78104791344667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IFERROR(__xludf.DUMMYFUNCTION("IMPORTRANGE(""https://docs.google.com/spreadsheets/d/1MeEWN-I1oV_STSDYn1IFDPWt_1FKiwhDph83XaGc0o0/edit?usp=sharing"",""งบพรบ!W59"")"),647000)</f>
        <v>647000</v>
      </c>
      <c r="M58" s="92">
        <f ca="1">IFERROR(__xludf.DUMMYFUNCTION("IMPORTRANGE(""https://docs.google.com/spreadsheets/d/1MeEWN-I1oV_STSDYn1IFDPWt_1FKiwhDph83XaGc0o0/edit?usp=sharing"",""งบพรบ!AB59"")"),619703.38)</f>
        <v>619703.38</v>
      </c>
      <c r="N58" s="92">
        <f ca="1">IFERROR(__xludf.DUMMYFUNCTION("IMPORTRANGE(""https://docs.google.com/spreadsheets/d/1MeEWN-I1oV_STSDYn1IFDPWt_1FKiwhDph83XaGc0o0/edit?usp=sharing"",""งบพรบ!AD59"")"),619703.38)</f>
        <v>619703.38</v>
      </c>
      <c r="O58" s="92">
        <f t="shared" ca="1" si="18"/>
        <v>95.78104791344667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IFERROR(__xludf.DUMMYFUNCTION("IMPORTRANGE(""https://docs.google.com/spreadsheets/d/1MeEWN-I1oV_STSDYn1IFDPWt_1FKiwhDph83XaGc0o0/edit?usp=sharing"",""งบพรบ!Z59"")"),0)</f>
        <v>0</v>
      </c>
      <c r="M61" s="51">
        <f ca="1">IFERROR(__xludf.DUMMYFUNCTION("IMPORTRANGE(""https://docs.google.com/spreadsheets/d/1MeEWN-I1oV_STSDYn1IFDPWt_1FKiwhDph83XaGc0o0/edit?usp=sharing"",""งบพรบ!AC59"")"),0)</f>
        <v>0</v>
      </c>
      <c r="N61" s="51">
        <f ca="1">IFERROR(__xludf.DUMMYFUNCTION("IMPORTRANGE(""https://docs.google.com/spreadsheets/d/1MeEWN-I1oV_STSDYn1IFDPWt_1FKiwhDph83XaGc0o0/edit?usp=sharing"",""งบพรบ!AE59"")"),0)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IFERROR(__xludf.DUMMYFUNCTION("IMPORTRANGE(""https://docs.google.com/spreadsheets/d/1MeEWN-I1oV_STSDYn1IFDPWt_1FKiwhDph83XaGc0o0/edit?usp=sharing"",""งบพรบ!AG59"")"),0)</f>
        <v>0</v>
      </c>
      <c r="M71" s="92">
        <f ca="1">IFERROR(__xludf.DUMMYFUNCTION("IMPORTRANGE(""https://docs.google.com/spreadsheets/d/1MeEWN-I1oV_STSDYn1IFDPWt_1FKiwhDph83XaGc0o0/edit?usp=sharing"",""งบพรบ!AL59"")"),0)</f>
        <v>0</v>
      </c>
      <c r="N71" s="92">
        <f ca="1">IFERROR(__xludf.DUMMYFUNCTION("IMPORTRANGE(""https://docs.google.com/spreadsheets/d/1MeEWN-I1oV_STSDYn1IFDPWt_1FKiwhDph83XaGc0o0/edit?usp=sharing"",""งบพรบ!AN59"")"),0)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IFERROR(__xludf.DUMMYFUNCTION("IMPORTRANGE(""https://docs.google.com/spreadsheets/d/1MeEWN-I1oV_STSDYn1IFDPWt_1FKiwhDph83XaGc0o0/edit?usp=sharing"",""งบพรบ!AJ59"")"),0)</f>
        <v>0</v>
      </c>
      <c r="M74" s="92">
        <f ca="1">IFERROR(__xludf.DUMMYFUNCTION("IMPORTRANGE(""https://docs.google.com/spreadsheets/d/1MeEWN-I1oV_STSDYn1IFDPWt_1FKiwhDph83XaGc0o0/edit?usp=sharing"",""งบพรบ!AM59"")"),0)</f>
        <v>0</v>
      </c>
      <c r="N74" s="92">
        <f ca="1">IFERROR(__xludf.DUMMYFUNCTION("IMPORTRANGE(""https://docs.google.com/spreadsheets/d/1MeEWN-I1oV_STSDYn1IFDPWt_1FKiwhDph83XaGc0o0/edit?usp=sharing"",""งบพรบ!AO59"")"),0)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IFERROR(__xludf.DUMMYFUNCTION("IMPORTRANGE(""https://docs.google.com/spreadsheets/d/1QqKyyYR6Q21VydFLVH3TRQUabQu_ym0Zz7PgGX0-kHA/edit?usp=sharing"",""แผน!H59"")"),0)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IFERROR(__xludf.DUMMYFUNCTION("IMPORTRANGE(""https://docs.google.com/spreadsheets/d/1QqKyyYR6Q21VydFLVH3TRQUabQu_ym0Zz7PgGX0-kHA/edit?usp=sharing"",""แผน!I59"")"),0)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IFERROR(__xludf.DUMMYFUNCTION("IMPORTRANGE(""https://docs.google.com/spreadsheets/d/1QqKyyYR6Q21VydFLVH3TRQUabQu_ym0Zz7PgGX0-kHA/edit?usp=sharing"",""แผน!F59"")"),0)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IFERROR(__xludf.DUMMYFUNCTION("IMPORTRANGE(""https://docs.google.com/spreadsheets/d/1QqKyyYR6Q21VydFLVH3TRQUabQu_ym0Zz7PgGX0-kHA/edit?usp=sharing"",""แผน!G59"")"),0)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IFERROR(__xludf.DUMMYFUNCTION("IMPORTRANGE(""https://docs.google.com/spreadsheets/d/1QqKyyYR6Q21VydFLVH3TRQUabQu_ym0Zz7PgGX0-kHA/edit?usp=sharing"",""แผน!D59"")"),0)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IFERROR(__xludf.DUMMYFUNCTION("IMPORTRANGE(""https://docs.google.com/spreadsheets/d/1QqKyyYR6Q21VydFLVH3TRQUabQu_ym0Zz7PgGX0-kHA/edit?usp=sharing"",""แผน!E59"")"),0)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IFERROR(__xludf.DUMMYFUNCTION("IMPORTRANGE(""https://docs.google.com/spreadsheets/d/1QqKyyYR6Q21VydFLVH3TRQUabQu_ym0Zz7PgGX0-kHA/edit?usp=sharing"",""แผน!J59"")"),0)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115940</v>
      </c>
      <c r="M88" s="154">
        <f ca="1">M89+M90</f>
        <v>126040</v>
      </c>
      <c r="N88" s="154">
        <f ca="1">N89+N90</f>
        <v>126040</v>
      </c>
      <c r="O88" s="154">
        <f t="shared" ref="O88:O96" ca="1" si="25">IF(L88&gt;0,N88*100/L88,0)</f>
        <v>108.71140244954287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115940</v>
      </c>
      <c r="M90" s="92">
        <f t="shared" ca="1" si="27"/>
        <v>126040</v>
      </c>
      <c r="N90" s="92">
        <f t="shared" ca="1" si="27"/>
        <v>126040</v>
      </c>
      <c r="O90" s="92">
        <f t="shared" ca="1" si="25"/>
        <v>108.71140244954287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115940</v>
      </c>
      <c r="M91" s="497">
        <f ca="1">M92+M93</f>
        <v>126040</v>
      </c>
      <c r="N91" s="497">
        <f ca="1">N92+N93</f>
        <v>126040</v>
      </c>
      <c r="O91" s="497">
        <f t="shared" ca="1" si="25"/>
        <v>108.71140244954287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IFERROR(__xludf.DUMMYFUNCTION("IMPORTRANGE(""https://docs.google.com/spreadsheets/d/1MeEWN-I1oV_STSDYn1IFDPWt_1FKiwhDph83XaGc0o0/edit?usp=sharing"",""งบพรบ!AQ59"")"),115940)</f>
        <v>115940</v>
      </c>
      <c r="M93" s="92">
        <f ca="1">IFERROR(__xludf.DUMMYFUNCTION("IMPORTRANGE(""https://docs.google.com/spreadsheets/d/1MeEWN-I1oV_STSDYn1IFDPWt_1FKiwhDph83XaGc0o0/edit?usp=sharing"",""งบพรบ!AV59"")"),126040)</f>
        <v>126040</v>
      </c>
      <c r="N93" s="92">
        <f ca="1">IFERROR(__xludf.DUMMYFUNCTION("IMPORTRANGE(""https://docs.google.com/spreadsheets/d/1MeEWN-I1oV_STSDYn1IFDPWt_1FKiwhDph83XaGc0o0/edit?usp=sharing"",""งบพรบ!AX59"")"),126040)</f>
        <v>126040</v>
      </c>
      <c r="O93" s="92">
        <f t="shared" ca="1" si="25"/>
        <v>108.71140244954287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IFERROR(__xludf.DUMMYFUNCTION("IMPORTRANGE(""https://docs.google.com/spreadsheets/d/1MeEWN-I1oV_STSDYn1IFDPWt_1FKiwhDph83XaGc0o0/edit?usp=sharing"",""งบพรบ!AT59"")"),0)</f>
        <v>0</v>
      </c>
      <c r="M96" s="92">
        <f ca="1">IFERROR(__xludf.DUMMYFUNCTION("IMPORTRANGE(""https://docs.google.com/spreadsheets/d/1MeEWN-I1oV_STSDYn1IFDPWt_1FKiwhDph83XaGc0o0/edit?usp=sharing"",""งบพรบ!AW59"")"),0)</f>
        <v>0</v>
      </c>
      <c r="N96" s="92">
        <f ca="1">IFERROR(__xludf.DUMMYFUNCTION("IMPORTRANGE(""https://docs.google.com/spreadsheets/d/1MeEWN-I1oV_STSDYn1IFDPWt_1FKiwhDph83XaGc0o0/edit?usp=sharing"",""งบพรบ!AY59"")"),0)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IFERROR(__xludf.DUMMYFUNCTION("IMPORTRANGE(""https://docs.google.com/spreadsheets/d/1QqKyyYR6Q21VydFLVH3TRQUabQu_ym0Zz7PgGX0-kHA/edit?usp=sharing"",""แผน!K59"")"),30)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IFERROR(__xludf.DUMMYFUNCTION("IMPORTRANGE(""https://docs.google.com/spreadsheets/d/1QqKyyYR6Q21VydFLVH3TRQUabQu_ym0Zz7PgGX0-kHA/edit?usp=sharing"",""แผน!L59"")"),10)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IFERROR(__xludf.DUMMYFUNCTION("IMPORTRANGE(""https://docs.google.com/spreadsheets/d/1QqKyyYR6Q21VydFLVH3TRQUabQu_ym0Zz7PgGX0-kHA/edit?usp=sharing"",""แผน!M59"")"),3)</f>
        <v>3</v>
      </c>
      <c r="J100" s="269">
        <f>J107+J110</f>
        <v>3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IFERROR(__xludf.DUMMYFUNCTION("IMPORTRANGE(""https://docs.google.com/spreadsheets/d/1QqKyyYR6Q21VydFLVH3TRQUabQu_ym0Zz7PgGX0-kHA/edit?usp=sharing"",""แผน!N59"")"),30)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IFERROR(__xludf.DUMMYFUNCTION("IMPORTRANGE(""https://docs.google.com/spreadsheets/d/1QqKyyYR6Q21VydFLVH3TRQUabQu_ym0Zz7PgGX0-kHA/edit?usp=sharing"",""แผน!O59"")"),10)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IFERROR(__xludf.DUMMYFUNCTION("IMPORTRANGE(""https://docs.google.com/spreadsheets/d/1QqKyyYR6Q21VydFLVH3TRQUabQu_ym0Zz7PgGX0-kHA/edit?usp=sharing"",""แผน!O59"")"),10)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IFERROR(__xludf.DUMMYFUNCTION("IMPORTRANGE(""https://docs.google.com/spreadsheets/d/1QqKyyYR6Q21VydFLVH3TRQUabQu_ym0Zz7PgGX0-kHA/edit?usp=sharing"",""แผน!P59"")"),2)</f>
        <v>2</v>
      </c>
      <c r="J106" s="214">
        <v>2</v>
      </c>
      <c r="K106" s="497">
        <f ca="1">IF(I106&gt;0,J106*100/I106,0)</f>
        <v>100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IFERROR(__xludf.DUMMYFUNCTION("IMPORTRANGE(""https://docs.google.com/spreadsheets/d/1QqKyyYR6Q21VydFLVH3TRQUabQu_ym0Zz7PgGX0-kHA/edit?usp=sharing"",""แผน!P59"")"),2)</f>
        <v>2</v>
      </c>
      <c r="J107" s="214">
        <v>2</v>
      </c>
      <c r="K107" s="497">
        <f ca="1">IF(I107&gt;0,J107*100/I107,0)</f>
        <v>100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IFERROR(__xludf.DUMMYFUNCTION("IMPORTRANGE(""https://docs.google.com/spreadsheets/d/1QqKyyYR6Q21VydFLVH3TRQUabQu_ym0Zz7PgGX0-kHA/edit?usp=sharing"",""แผน!Q59"")"),1)</f>
        <v>1</v>
      </c>
      <c r="J109" s="214">
        <v>1</v>
      </c>
      <c r="K109" s="497">
        <f t="shared" ref="K109:K116" ca="1" si="28">IF(I109&gt;0,J109*100/I109,0)</f>
        <v>100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IFERROR(__xludf.DUMMYFUNCTION("IMPORTRANGE(""https://docs.google.com/spreadsheets/d/1QqKyyYR6Q21VydFLVH3TRQUabQu_ym0Zz7PgGX0-kHA/edit?usp=sharing"",""แผน!Q59"")"),1)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3</v>
      </c>
      <c r="J112" s="676">
        <f>J115+J116</f>
        <v>3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IFERROR(__xludf.DUMMYFUNCTION("IMPORTRANGE(""https://docs.google.com/spreadsheets/d/1QqKyyYR6Q21VydFLVH3TRQUabQu_ym0Zz7PgGX0-kHA/edit?usp=sharing"",""แผน!R59"")"),10)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IFERROR(__xludf.DUMMYFUNCTION("IMPORTRANGE(""https://docs.google.com/spreadsheets/d/1QqKyyYR6Q21VydFLVH3TRQUabQu_ym0Zz7PgGX0-kHA/edit?usp=sharing"",""แผน!R59"")"),10)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IFERROR(__xludf.DUMMYFUNCTION("IMPORTRANGE(""https://docs.google.com/spreadsheets/d/1QqKyyYR6Q21VydFLVH3TRQUabQu_ym0Zz7PgGX0-kHA/edit?usp=sharing"",""แผน!S59"")"),2)</f>
        <v>2</v>
      </c>
      <c r="J115" s="214">
        <v>2</v>
      </c>
      <c r="K115" s="497">
        <f t="shared" ca="1" si="28"/>
        <v>100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IFERROR(__xludf.DUMMYFUNCTION("IMPORTRANGE(""https://docs.google.com/spreadsheets/d/1QqKyyYR6Q21VydFLVH3TRQUabQu_ym0Zz7PgGX0-kHA/edit?usp=sharing"",""แผน!T59"")"),1)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 t="s">
        <v>66</v>
      </c>
      <c r="I118" s="207">
        <v>0</v>
      </c>
      <c r="J118" s="207">
        <v>0</v>
      </c>
      <c r="K118" s="145">
        <f>IF(I118&gt;0,J118*100/I118,0)</f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IFERROR(__xludf.DUMMYFUNCTION("IMPORTRANGE(""https://docs.google.com/spreadsheets/d/1MeEWN-I1oV_STSDYn1IFDPWt_1FKiwhDph83XaGc0o0/edit?usp=sharing"",""งบพรบ!BA59"")"),0)</f>
        <v>0</v>
      </c>
      <c r="M124" s="92">
        <f ca="1">IFERROR(__xludf.DUMMYFUNCTION("IMPORTRANGE(""https://docs.google.com/spreadsheets/d/1MeEWN-I1oV_STSDYn1IFDPWt_1FKiwhDph83XaGc0o0/edit?usp=sharing"",""งบพรบ!BF59"")"),0)</f>
        <v>0</v>
      </c>
      <c r="N124" s="92">
        <f ca="1">IFERROR(__xludf.DUMMYFUNCTION("IMPORTRANGE(""https://docs.google.com/spreadsheets/d/1MeEWN-I1oV_STSDYn1IFDPWt_1FKiwhDph83XaGc0o0/edit?usp=sharing"",""งบพรบ!BH59"")"),0)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IFERROR(__xludf.DUMMYFUNCTION("IMPORTRANGE(""https://docs.google.com/spreadsheets/d/1MeEWN-I1oV_STSDYn1IFDPWt_1FKiwhDph83XaGc0o0/edit?usp=sharing"",""งบพรบ!BD59"")"),0)</f>
        <v>0</v>
      </c>
      <c r="M127" s="92">
        <f ca="1">IFERROR(__xludf.DUMMYFUNCTION("IMPORTRANGE(""https://docs.google.com/spreadsheets/d/1MeEWN-I1oV_STSDYn1IFDPWt_1FKiwhDph83XaGc0o0/edit?usp=sharing"",""งบพรบ!BG59"")"),0)</f>
        <v>0</v>
      </c>
      <c r="N127" s="92">
        <f ca="1">IFERROR(__xludf.DUMMYFUNCTION("IMPORTRANGE(""https://docs.google.com/spreadsheets/d/1MeEWN-I1oV_STSDYn1IFDPWt_1FKiwhDph83XaGc0o0/edit?usp=sharing"",""งบพรบ!BI59"")"),0)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IFERROR(__xludf.DUMMYFUNCTION("IMPORTRANGE(""https://docs.google.com/spreadsheets/d/1MeEWN-I1oV_STSDYn1IFDPWt_1FKiwhDph83XaGc0o0/edit?usp=sharing"",""งบพรบ!BK59"")"),0)</f>
        <v>0</v>
      </c>
      <c r="M137" s="92">
        <f ca="1">IFERROR(__xludf.DUMMYFUNCTION("IMPORTRANGE(""https://docs.google.com/spreadsheets/d/1MeEWN-I1oV_STSDYn1IFDPWt_1FKiwhDph83XaGc0o0/edit?usp=sharing"",""งบพรบ!BP59"")"),0)</f>
        <v>0</v>
      </c>
      <c r="N137" s="92">
        <f ca="1">IFERROR(__xludf.DUMMYFUNCTION("IMPORTRANGE(""https://docs.google.com/spreadsheets/d/1MeEWN-I1oV_STSDYn1IFDPWt_1FKiwhDph83XaGc0o0/edit?usp=sharing"",""งบพรบ!BR59"")"),0)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IFERROR(__xludf.DUMMYFUNCTION("IMPORTRANGE(""https://docs.google.com/spreadsheets/d/1MeEWN-I1oV_STSDYn1IFDPWt_1FKiwhDph83XaGc0o0/edit?usp=sharing"",""งบพรบ!BN59"")"),0)</f>
        <v>0</v>
      </c>
      <c r="M140" s="92">
        <f ca="1">IFERROR(__xludf.DUMMYFUNCTION("IMPORTRANGE(""https://docs.google.com/spreadsheets/d/1MeEWN-I1oV_STSDYn1IFDPWt_1FKiwhDph83XaGc0o0/edit?usp=sharing"",""งบพรบ!BQ59"")"),0)</f>
        <v>0</v>
      </c>
      <c r="N140" s="92">
        <f ca="1">IFERROR(__xludf.DUMMYFUNCTION("IMPORTRANGE(""https://docs.google.com/spreadsheets/d/1MeEWN-I1oV_STSDYn1IFDPWt_1FKiwhDph83XaGc0o0/edit?usp=sharing"",""งบพรบ!BS59"")"),0)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IFERROR(__xludf.DUMMYFUNCTION("IMPORTRANGE(""https://docs.google.com/spreadsheets/d/1QqKyyYR6Q21VydFLVH3TRQUabQu_ym0Zz7PgGX0-kHA/edit?usp=sharing"",""แผน!U59"")"),0)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IFERROR(__xludf.DUMMYFUNCTION("IMPORTRANGE(""https://docs.google.com/spreadsheets/d/1QqKyyYR6Q21VydFLVH3TRQUabQu_ym0Zz7PgGX0-kHA/edit?usp=sharing"",""แผน!V59"")"),0)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IFERROR(__xludf.DUMMYFUNCTION("IMPORTRANGE(""https://docs.google.com/spreadsheets/d/1QqKyyYR6Q21VydFLVH3TRQUabQu_ym0Zz7PgGX0-kHA/edit?usp=sharing"",""แผน!W59"")"),0)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IFERROR(__xludf.DUMMYFUNCTION("IMPORTRANGE(""https://docs.google.com/spreadsheets/d/1MeEWN-I1oV_STSDYn1IFDPWt_1FKiwhDph83XaGc0o0/edit?usp=sharing"",""งบพรบ!BU59"")"),0)</f>
        <v>0</v>
      </c>
      <c r="M154" s="92">
        <f ca="1">IFERROR(__xludf.DUMMYFUNCTION("IMPORTRANGE(""https://docs.google.com/spreadsheets/d/1MeEWN-I1oV_STSDYn1IFDPWt_1FKiwhDph83XaGc0o0/edit?usp=sharing"",""งบพรบ!BZ59"")"),0)</f>
        <v>0</v>
      </c>
      <c r="N154" s="92">
        <f ca="1">IFERROR(__xludf.DUMMYFUNCTION("IMPORTRANGE(""https://docs.google.com/spreadsheets/d/1MeEWN-I1oV_STSDYn1IFDPWt_1FKiwhDph83XaGc0o0/edit?usp=sharing"",""งบพรบ!CB59"")"),0)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IFERROR(__xludf.DUMMYFUNCTION("IMPORTRANGE(""https://docs.google.com/spreadsheets/d/1MeEWN-I1oV_STSDYn1IFDPWt_1FKiwhDph83XaGc0o0/edit?usp=sharing"",""งบพรบ!BX59"")"),0)</f>
        <v>0</v>
      </c>
      <c r="M157" s="92">
        <f ca="1">IFERROR(__xludf.DUMMYFUNCTION("IMPORTRANGE(""https://docs.google.com/spreadsheets/d/1MeEWN-I1oV_STSDYn1IFDPWt_1FKiwhDph83XaGc0o0/edit?usp=sharing"",""งบพรบ!CA59"")"),0)</f>
        <v>0</v>
      </c>
      <c r="N157" s="92">
        <f ca="1">IFERROR(__xludf.DUMMYFUNCTION("IMPORTRANGE(""https://docs.google.com/spreadsheets/d/1MeEWN-I1oV_STSDYn1IFDPWt_1FKiwhDph83XaGc0o0/edit?usp=sharing"",""งบพรบ!CC59"")"),0)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IFERROR(__xludf.DUMMYFUNCTION("IMPORTRANGE(""https://docs.google.com/spreadsheets/d/1QqKyyYR6Q21VydFLVH3TRQUabQu_ym0Zz7PgGX0-kHA/edit?usp=sharing"",""แผน!X59"")"),0)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875">
        <f ca="1">I174+I177</f>
        <v>0</v>
      </c>
      <c r="J164" s="875">
        <f>J174+J177</f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3">
        <f ca="1">L166+L167</f>
        <v>0</v>
      </c>
      <c r="M165" s="153">
        <f ca="1">M166+M167</f>
        <v>13000</v>
      </c>
      <c r="N165" s="153">
        <f ca="1">N166+N167</f>
        <v>13000</v>
      </c>
      <c r="O165" s="153">
        <f t="shared" ref="O165:O173" ca="1" si="38">IF(L165&gt;0,N165*100/L165,0)</f>
        <v>0</v>
      </c>
      <c r="P165" s="153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0</v>
      </c>
      <c r="M167" s="92">
        <f t="shared" ca="1" si="40"/>
        <v>13000</v>
      </c>
      <c r="N167" s="92">
        <f t="shared" ca="1" si="40"/>
        <v>13000</v>
      </c>
      <c r="O167" s="92">
        <f t="shared" ca="1" si="38"/>
        <v>0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 hidden="1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0</v>
      </c>
      <c r="M168" s="497">
        <f ca="1">M169+M170</f>
        <v>13000</v>
      </c>
      <c r="N168" s="497">
        <f ca="1">N169+N170</f>
        <v>13000</v>
      </c>
      <c r="O168" s="497">
        <f t="shared" ca="1" si="38"/>
        <v>0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IFERROR(__xludf.DUMMYFUNCTION("IMPORTRANGE(""https://docs.google.com/spreadsheets/d/1MeEWN-I1oV_STSDYn1IFDPWt_1FKiwhDph83XaGc0o0/edit?usp=sharing"",""งบพรบ!CE59"")"),0)</f>
        <v>0</v>
      </c>
      <c r="M170" s="92">
        <f ca="1">IFERROR(__xludf.DUMMYFUNCTION("IMPORTRANGE(""https://docs.google.com/spreadsheets/d/1MeEWN-I1oV_STSDYn1IFDPWt_1FKiwhDph83XaGc0o0/edit?usp=sharing"",""งบพรบ!CJ59"")"),13000)</f>
        <v>13000</v>
      </c>
      <c r="N170" s="92">
        <f ca="1">IFERROR(__xludf.DUMMYFUNCTION("IMPORTRANGE(""https://docs.google.com/spreadsheets/d/1MeEWN-I1oV_STSDYn1IFDPWt_1FKiwhDph83XaGc0o0/edit?usp=sharing"",""งบพรบ!CL59"")"),13000)</f>
        <v>13000</v>
      </c>
      <c r="O170" s="92">
        <f t="shared" ca="1" si="38"/>
        <v>0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 hidden="1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IFERROR(__xludf.DUMMYFUNCTION("IMPORTRANGE(""https://docs.google.com/spreadsheets/d/1MeEWN-I1oV_STSDYn1IFDPWt_1FKiwhDph83XaGc0o0/edit?usp=sharing"",""งบพรบ!CH59"")"),0)</f>
        <v>0</v>
      </c>
      <c r="M173" s="92">
        <f ca="1">IFERROR(__xludf.DUMMYFUNCTION("IMPORTRANGE(""https://docs.google.com/spreadsheets/d/1MeEWN-I1oV_STSDYn1IFDPWt_1FKiwhDph83XaGc0o0/edit?usp=sharing"",""งบพรบ!CK59"")"),0)</f>
        <v>0</v>
      </c>
      <c r="N173" s="92">
        <f ca="1">IFERROR(__xludf.DUMMYFUNCTION("IMPORTRANGE(""https://docs.google.com/spreadsheets/d/1MeEWN-I1oV_STSDYn1IFDPWt_1FKiwhDph83XaGc0o0/edit?usp=sharing"",""งบพรบ!CM59"")"),0)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0</v>
      </c>
      <c r="J174" s="260">
        <f>J176</f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 hidden="1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IFERROR(__xludf.DUMMYFUNCTION("IMPORTRANGE(""https://docs.google.com/spreadsheets/d/1QqKyyYR6Q21VydFLVH3TRQUabQu_ym0Zz7PgGX0-kHA/edit?usp=sharing"",""แผน!Y59"")"),0)</f>
        <v>0</v>
      </c>
      <c r="J176" s="214">
        <v>0</v>
      </c>
      <c r="K176" s="162">
        <f ca="1">IF(I176&gt;0,J176*100/I176,0)</f>
        <v>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20</v>
      </c>
      <c r="J180" s="252">
        <f>J225+J226</f>
        <v>20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273800</v>
      </c>
      <c r="M181" s="154">
        <f ca="1">M182+M183</f>
        <v>302010</v>
      </c>
      <c r="N181" s="154">
        <f ca="1">N182+N183</f>
        <v>302010</v>
      </c>
      <c r="O181" s="154">
        <f t="shared" ref="O181:O189" ca="1" si="41">IF(L181&gt;0,N181*100/L181,0)</f>
        <v>110.30314097881666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273800</v>
      </c>
      <c r="M183" s="92">
        <f t="shared" ca="1" si="43"/>
        <v>302010</v>
      </c>
      <c r="N183" s="92">
        <f t="shared" ca="1" si="43"/>
        <v>302010</v>
      </c>
      <c r="O183" s="92">
        <f t="shared" ca="1" si="41"/>
        <v>110.30314097881666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273800</v>
      </c>
      <c r="M184" s="497">
        <f ca="1">M185+M186</f>
        <v>302010</v>
      </c>
      <c r="N184" s="497">
        <f ca="1">N185+N186</f>
        <v>302010</v>
      </c>
      <c r="O184" s="497">
        <f t="shared" ca="1" si="41"/>
        <v>110.30314097881666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IFERROR(__xludf.DUMMYFUNCTION("IMPORTRANGE(""https://docs.google.com/spreadsheets/d/1MeEWN-I1oV_STSDYn1IFDPWt_1FKiwhDph83XaGc0o0/edit?usp=sharing"",""งบพรบ!CO59"")"),273800)</f>
        <v>273800</v>
      </c>
      <c r="M186" s="92">
        <f ca="1">IFERROR(__xludf.DUMMYFUNCTION("IMPORTRANGE(""https://docs.google.com/spreadsheets/d/1MeEWN-I1oV_STSDYn1IFDPWt_1FKiwhDph83XaGc0o0/edit?usp=sharing"",""งบพรบ!CT59"")"),302010)</f>
        <v>302010</v>
      </c>
      <c r="N186" s="92">
        <f ca="1">IFERROR(__xludf.DUMMYFUNCTION("IMPORTRANGE(""https://docs.google.com/spreadsheets/d/1MeEWN-I1oV_STSDYn1IFDPWt_1FKiwhDph83XaGc0o0/edit?usp=sharing"",""งบพรบ!CV59"")"),302010)</f>
        <v>302010</v>
      </c>
      <c r="O186" s="92">
        <f t="shared" ca="1" si="41"/>
        <v>110.30314097881666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IFERROR(__xludf.DUMMYFUNCTION("IMPORTRANGE(""https://docs.google.com/spreadsheets/d/1MeEWN-I1oV_STSDYn1IFDPWt_1FKiwhDph83XaGc0o0/edit?usp=sharing"",""งบพรบ!CR59"")"),0)</f>
        <v>0</v>
      </c>
      <c r="M189" s="92">
        <f ca="1">IFERROR(__xludf.DUMMYFUNCTION("IMPORTRANGE(""https://docs.google.com/spreadsheets/d/1MeEWN-I1oV_STSDYn1IFDPWt_1FKiwhDph83XaGc0o0/edit?usp=sharing"",""งบพรบ!CU59"")"),0)</f>
        <v>0</v>
      </c>
      <c r="N189" s="92">
        <f ca="1">IFERROR(__xludf.DUMMYFUNCTION("IMPORTRANGE(""https://docs.google.com/spreadsheets/d/1MeEWN-I1oV_STSDYn1IFDPWt_1FKiwhDph83XaGc0o0/edit?usp=sharing"",""งบพรบ!CW59"")"),0)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IFERROR(__xludf.DUMMYFUNCTION("IMPORTRANGE(""https://docs.google.com/spreadsheets/d/1QqKyyYR6Q21VydFLVH3TRQUabQu_ym0Zz7PgGX0-kHA/edit?usp=sharing"",""แผน!Z59"")"),6000)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IFERROR(__xludf.DUMMYFUNCTION("IMPORTRANGE(""https://docs.google.com/spreadsheets/d/1QqKyyYR6Q21VydFLVH3TRQUabQu_ym0Zz7PgGX0-kHA/edit?usp=sharing"",""แผน!AC59"")"),4)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68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68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1</v>
      </c>
      <c r="J197" s="271">
        <f>J204</f>
        <v>1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13000</v>
      </c>
      <c r="M198" s="154"/>
      <c r="N198" s="154">
        <f>N199+N200+N201+N202</f>
        <v>13000</v>
      </c>
      <c r="O198" s="154">
        <f ca="1">IF(L198&gt;0,N198*100/L198,0)</f>
        <v>100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3">
        <v>1000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3">
        <v>8000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3">
        <v>4000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IFERROR(__xludf.DUMMYFUNCTION("IMPORTRANGE(""https://docs.google.com/spreadsheets/d/1QqKyyYR6Q21VydFLVH3TRQUabQu_ym0Zz7PgGX0-kHA/edit?usp=sharing"",""แผน!AI59"")"),1)</f>
        <v>1</v>
      </c>
      <c r="J204" s="214">
        <v>1</v>
      </c>
      <c r="K204" s="162">
        <f ca="1">IF(I204&gt;0,J204*100/I204,0)</f>
        <v>100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>
      <c r="A206" s="169"/>
      <c r="B206" s="170"/>
      <c r="C206" s="170"/>
      <c r="D206" s="177"/>
      <c r="E206" s="527" t="s">
        <v>102</v>
      </c>
      <c r="F206" s="287"/>
      <c r="G206" s="288"/>
      <c r="H206" s="289" t="s">
        <v>96</v>
      </c>
      <c r="I206" s="269">
        <v>1</v>
      </c>
      <c r="J206" s="214">
        <v>1</v>
      </c>
      <c r="K206" s="162">
        <f>IF(I206&gt;0,J206*100/I206,0)</f>
        <v>100</v>
      </c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>
      <c r="A207" s="169"/>
      <c r="B207" s="170"/>
      <c r="C207" s="170"/>
      <c r="D207" s="446"/>
      <c r="E207" s="446" t="s">
        <v>103</v>
      </c>
      <c r="F207" s="177"/>
      <c r="G207" s="177"/>
      <c r="H207" s="290" t="s">
        <v>104</v>
      </c>
      <c r="I207" s="269">
        <v>0</v>
      </c>
      <c r="J207" s="214">
        <v>0</v>
      </c>
      <c r="K207" s="162">
        <f>IF(I207&gt;0,J207*100/I207,0)</f>
        <v>0</v>
      </c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IFERROR(__xludf.DUMMYFUNCTION("IMPORTRANGE(""https://docs.google.com/spreadsheets/d/1QqKyyYR6Q21VydFLVH3TRQUabQu_ym0Zz7PgGX0-kHA/edit?usp=sharing"",""แผน!AN59"")"),0)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IFERROR(__xludf.DUMMYFUNCTION("IMPORTRANGE(""https://docs.google.com/spreadsheets/d/1QqKyyYR6Q21VydFLVH3TRQUabQu_ym0Zz7PgGX0-kHA/edit?usp=sharing"",""แผน!AN59"")"),0)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30000</v>
      </c>
      <c r="J216" s="271">
        <f>J224</f>
        <v>30000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13500</v>
      </c>
      <c r="M217" s="154"/>
      <c r="N217" s="154">
        <f>N218+N219+N220</f>
        <v>13500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3">
        <v>5000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3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IFERROR(__xludf.DUMMYFUNCTION("IMPORTRANGE(""https://docs.google.com/spreadsheets/d/1QqKyyYR6Q21VydFLVH3TRQUabQu_ym0Zz7PgGX0-kHA/edit?usp=sharing"",""แผน!AT59"")"),30000)</f>
        <v>30000</v>
      </c>
      <c r="J223" s="214">
        <v>30000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IFERROR(__xludf.DUMMYFUNCTION("IMPORTRANGE(""https://docs.google.com/spreadsheets/d/1QqKyyYR6Q21VydFLVH3TRQUabQu_ym0Zz7PgGX0-kHA/edit?usp=sharing"",""แผน!AT59"")"),30000)</f>
        <v>30000</v>
      </c>
      <c r="J224" s="214">
        <v>30000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IFERROR(__xludf.DUMMYFUNCTION("IMPORTRANGE(""https://docs.google.com/spreadsheets/d/1QqKyyYR6Q21VydFLVH3TRQUabQu_ym0Zz7PgGX0-kHA/edit?usp=sharing"",""แผน!AS59"")"),0)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20</v>
      </c>
      <c r="J226" s="344">
        <f>J237+J248</f>
        <v>20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93200</v>
      </c>
      <c r="M227" s="355"/>
      <c r="N227" s="355">
        <f>N238+N249</f>
        <v>93200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53200</v>
      </c>
      <c r="M229" s="92"/>
      <c r="N229" s="92">
        <f>N240+N251</f>
        <v>53200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10000</v>
      </c>
      <c r="M230" s="92"/>
      <c r="N230" s="92">
        <f>N241+N252</f>
        <v>10000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20</v>
      </c>
      <c r="J233" s="612">
        <f>J244+J255</f>
        <v>20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20</v>
      </c>
      <c r="J235" s="612">
        <f>J246+J257</f>
        <v>20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20</v>
      </c>
      <c r="J237" s="271">
        <f>J244</f>
        <v>20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93200</v>
      </c>
      <c r="M238" s="154"/>
      <c r="N238" s="154">
        <f>N239+N240+N241+N242</f>
        <v>93200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IFERROR(__xludf.DUMMYFUNCTION("IMPORTRANGE(""https://docs.google.com/spreadsheets/d/1QqKyyYR6Q21VydFLVH3TRQUabQu_ym0Zz7PgGX0-kHA/edit?usp=sharing"",""แผน!AV59"")"),20000)</f>
        <v>20000</v>
      </c>
      <c r="M239" s="282"/>
      <c r="N239" s="862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IFERROR(__xludf.DUMMYFUNCTION("IMPORTRANGE(""https://docs.google.com/spreadsheets/d/1QqKyyYR6Q21VydFLVH3TRQUabQu_ym0Zz7PgGX0-kHA/edit?usp=sharing"",""แผน!AW59"")"),53200)</f>
        <v>53200</v>
      </c>
      <c r="M240" s="282"/>
      <c r="N240" s="862">
        <v>53200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IFERROR(__xludf.DUMMYFUNCTION("IMPORTRANGE(""https://docs.google.com/spreadsheets/d/1QqKyyYR6Q21VydFLVH3TRQUabQu_ym0Zz7PgGX0-kHA/edit?usp=sharing"",""แผน!AX59"")"),10000)</f>
        <v>10000</v>
      </c>
      <c r="M241" s="282"/>
      <c r="N241" s="862">
        <v>10000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IFERROR(__xludf.DUMMYFUNCTION("IMPORTRANGE(""https://docs.google.com/spreadsheets/d/1QqKyyYR6Q21VydFLVH3TRQUabQu_ym0Zz7PgGX0-kHA/edit?usp=sharing"",""แผน!AY59"")"),10000)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IFERROR(__xludf.DUMMYFUNCTION("IMPORTRANGE(""https://docs.google.com/spreadsheets/d/1QqKyyYR6Q21VydFLVH3TRQUabQu_ym0Zz7PgGX0-kHA/edit?usp=sharing"",""แผน!BE59"")"),20)</f>
        <v>20</v>
      </c>
      <c r="J244" s="214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20</v>
      </c>
      <c r="J246" s="214">
        <v>20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IFERROR(__xludf.DUMMYFUNCTION("IMPORTRANGE(""https://docs.google.com/spreadsheets/d/1QqKyyYR6Q21VydFLVH3TRQUabQu_ym0Zz7PgGX0-kHA/edit?usp=sharing"",""แผน!AZ59"")"),0)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IFERROR(__xludf.DUMMYFUNCTION("IMPORTRANGE(""https://docs.google.com/spreadsheets/d/1QqKyyYR6Q21VydFLVH3TRQUabQu_ym0Zz7PgGX0-kHA/edit?usp=sharing"",""แผน!BA59"")"),0)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IFERROR(__xludf.DUMMYFUNCTION("IMPORTRANGE(""https://docs.google.com/spreadsheets/d/1QqKyyYR6Q21VydFLVH3TRQUabQu_ym0Zz7PgGX0-kHA/edit?usp=sharing"",""แผน!BB59"")"),0)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IFERROR(__xludf.DUMMYFUNCTION("IMPORTRANGE(""https://docs.google.com/spreadsheets/d/1QqKyyYR6Q21VydFLVH3TRQUabQu_ym0Zz7PgGX0-kHA/edit?usp=sharing"",""แผน!BC59"")"),0)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IFERROR(__xludf.DUMMYFUNCTION("IMPORTRANGE(""https://docs.google.com/spreadsheets/d/1QqKyyYR6Q21VydFLVH3TRQUabQu_ym0Zz7PgGX0-kHA/edit?usp=sharing"",""แผน!BF59"")"),0)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22</v>
      </c>
      <c r="J260" s="252">
        <f>J271</f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26900</v>
      </c>
      <c r="M261" s="154">
        <f ca="1">M262+M263</f>
        <v>26900</v>
      </c>
      <c r="N261" s="154">
        <f ca="1">N262+N263</f>
        <v>26900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26900</v>
      </c>
      <c r="M263" s="92">
        <f t="shared" ca="1" si="46"/>
        <v>26900</v>
      </c>
      <c r="N263" s="92">
        <f t="shared" ca="1" si="46"/>
        <v>26900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26900</v>
      </c>
      <c r="M264" s="497">
        <f ca="1">M265+M266</f>
        <v>26900</v>
      </c>
      <c r="N264" s="497">
        <f ca="1">N265+N266</f>
        <v>26900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IFERROR(__xludf.DUMMYFUNCTION("IMPORTRANGE(""https://docs.google.com/spreadsheets/d/1MeEWN-I1oV_STSDYn1IFDPWt_1FKiwhDph83XaGc0o0/edit?usp=sharing"",""งบพรบ!CY59"")"),26900)</f>
        <v>26900</v>
      </c>
      <c r="M266" s="92">
        <f ca="1">IFERROR(__xludf.DUMMYFUNCTION("IMPORTRANGE(""https://docs.google.com/spreadsheets/d/1MeEWN-I1oV_STSDYn1IFDPWt_1FKiwhDph83XaGc0o0/edit?usp=sharing"",""งบพรบ!DD59"")"),26900)</f>
        <v>26900</v>
      </c>
      <c r="N266" s="92">
        <f ca="1">IFERROR(__xludf.DUMMYFUNCTION("IMPORTRANGE(""https://docs.google.com/spreadsheets/d/1MeEWN-I1oV_STSDYn1IFDPWt_1FKiwhDph83XaGc0o0/edit?usp=sharing"",""งบพรบ!DF59"")"),26900)</f>
        <v>26900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IFERROR(__xludf.DUMMYFUNCTION("IMPORTRANGE(""https://docs.google.com/spreadsheets/d/1MeEWN-I1oV_STSDYn1IFDPWt_1FKiwhDph83XaGc0o0/edit?usp=sharing"",""งบพรบ!DB59"")"),0)</f>
        <v>0</v>
      </c>
      <c r="M269" s="92">
        <f ca="1">IFERROR(__xludf.DUMMYFUNCTION("IMPORTRANGE(""https://docs.google.com/spreadsheets/d/1MeEWN-I1oV_STSDYn1IFDPWt_1FKiwhDph83XaGc0o0/edit?usp=sharing"",""งบพรบ!DE59"")"),0)</f>
        <v>0</v>
      </c>
      <c r="N269" s="92">
        <f ca="1">IFERROR(__xludf.DUMMYFUNCTION("IMPORTRANGE(""https://docs.google.com/spreadsheets/d/1MeEWN-I1oV_STSDYn1IFDPWt_1FKiwhDph83XaGc0o0/edit?usp=sharing"",""งบพรบ!DG59"")"),0)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IFERROR(__xludf.DUMMYFUNCTION("IMPORTRANGE(""https://docs.google.com/spreadsheets/d/1QqKyyYR6Q21VydFLVH3TRQUabQu_ym0Zz7PgGX0-kHA/edit?usp=sharing"",""แผน!EA59"")"),22)</f>
        <v>22</v>
      </c>
      <c r="J271" s="214">
        <v>22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5</v>
      </c>
      <c r="J275" s="405">
        <f ca="1">J288</f>
        <v>5</v>
      </c>
      <c r="K275" s="406">
        <f ca="1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50</v>
      </c>
      <c r="J276" s="860">
        <f>J287</f>
        <v>50</v>
      </c>
      <c r="K276" s="407">
        <f ca="1">IF(I276&gt;0,J276*100/I276,0)</f>
        <v>100</v>
      </c>
      <c r="L276" s="407"/>
      <c r="M276" s="407"/>
      <c r="N276" s="407"/>
      <c r="O276" s="407"/>
      <c r="P276" s="407"/>
    </row>
    <row r="277" spans="1:26" ht="19.5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22630</v>
      </c>
      <c r="M277" s="154">
        <f ca="1">M278+M279</f>
        <v>22630</v>
      </c>
      <c r="N277" s="154">
        <f ca="1">N278+N279</f>
        <v>22630</v>
      </c>
      <c r="O277" s="154">
        <f t="shared" ref="O277:O285" ca="1" si="47">IF(L277&gt;0,N277*100/L277,0)</f>
        <v>100</v>
      </c>
      <c r="P277" s="154">
        <f t="shared" ref="P277:P285" ca="1" si="48">IF(M277&gt;0,N277*100/M277,0)</f>
        <v>100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22630</v>
      </c>
      <c r="M279" s="92">
        <f t="shared" ca="1" si="49"/>
        <v>22630</v>
      </c>
      <c r="N279" s="92">
        <f t="shared" ca="1" si="49"/>
        <v>22630</v>
      </c>
      <c r="O279" s="92">
        <f t="shared" ca="1" si="47"/>
        <v>100</v>
      </c>
      <c r="P279" s="92">
        <f t="shared" ca="1" si="48"/>
        <v>100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22630</v>
      </c>
      <c r="M280" s="497">
        <f ca="1">M281+M282</f>
        <v>22630</v>
      </c>
      <c r="N280" s="497">
        <f ca="1">N281+N282</f>
        <v>22630</v>
      </c>
      <c r="O280" s="497">
        <f t="shared" ca="1" si="47"/>
        <v>100</v>
      </c>
      <c r="P280" s="497">
        <f t="shared" ca="1" si="48"/>
        <v>100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IFERROR(__xludf.DUMMYFUNCTION("IMPORTRANGE(""https://docs.google.com/spreadsheets/d/1MeEWN-I1oV_STSDYn1IFDPWt_1FKiwhDph83XaGc0o0/edit?usp=sharing"",""งบพรบ!DI59"")"),22630)</f>
        <v>22630</v>
      </c>
      <c r="M282" s="92">
        <f ca="1">IFERROR(__xludf.DUMMYFUNCTION("IMPORTRANGE(""https://docs.google.com/spreadsheets/d/1MeEWN-I1oV_STSDYn1IFDPWt_1FKiwhDph83XaGc0o0/edit?usp=sharing"",""งบพรบ!DN59"")"),22630)</f>
        <v>22630</v>
      </c>
      <c r="N282" s="92">
        <f ca="1">IFERROR(__xludf.DUMMYFUNCTION("IMPORTRANGE(""https://docs.google.com/spreadsheets/d/1MeEWN-I1oV_STSDYn1IFDPWt_1FKiwhDph83XaGc0o0/edit?usp=sharing"",""งบพรบ!DP59"")"),22630)</f>
        <v>22630</v>
      </c>
      <c r="O282" s="92">
        <f t="shared" ca="1" si="47"/>
        <v>100</v>
      </c>
      <c r="P282" s="92">
        <f t="shared" ca="1" si="48"/>
        <v>100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IFERROR(__xludf.DUMMYFUNCTION("IMPORTRANGE(""https://docs.google.com/spreadsheets/d/1MeEWN-I1oV_STSDYn1IFDPWt_1FKiwhDph83XaGc0o0/edit?usp=sharing"",""งบพรบ!DL59"")"),0)</f>
        <v>0</v>
      </c>
      <c r="M285" s="92">
        <f ca="1">IFERROR(__xludf.DUMMYFUNCTION("IMPORTRANGE(""https://docs.google.com/spreadsheets/d/1MeEWN-I1oV_STSDYn1IFDPWt_1FKiwhDph83XaGc0o0/edit?usp=sharing"",""งบพรบ!DO59"")"),0)</f>
        <v>0</v>
      </c>
      <c r="N285" s="92">
        <f ca="1">IFERROR(__xludf.DUMMYFUNCTION("IMPORTRANGE(""https://docs.google.com/spreadsheets/d/1MeEWN-I1oV_STSDYn1IFDPWt_1FKiwhDph83XaGc0o0/edit?usp=sharing"",""งบพรบ!DQ59"")"),0)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IFERROR(__xludf.DUMMYFUNCTION("IMPORTRANGE(""https://docs.google.com/spreadsheets/d/1QqKyyYR6Q21VydFLVH3TRQUabQu_ym0Zz7PgGX0-kHA/edit?usp=sharing"",""แผน!EC59"")"),50)</f>
        <v>50</v>
      </c>
      <c r="J287" s="214">
        <v>50</v>
      </c>
      <c r="K287" s="162">
        <f ca="1">IF(I287&gt;0,J287*100/I287,0)</f>
        <v>100</v>
      </c>
      <c r="L287" s="162"/>
      <c r="M287" s="162"/>
      <c r="N287" s="162"/>
      <c r="O287" s="162"/>
      <c r="P287" s="162"/>
    </row>
    <row r="288" spans="1:26" ht="19.5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5</v>
      </c>
      <c r="K288" s="410">
        <f ca="1">IF(I288&gt;0,J288*100/I288,0)</f>
        <v>100</v>
      </c>
      <c r="L288" s="162"/>
      <c r="M288" s="162"/>
      <c r="N288" s="162"/>
      <c r="O288" s="162"/>
      <c r="P288" s="162"/>
    </row>
    <row r="289" spans="1:26" ht="19.5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IFERROR(__xludf.DUMMYFUNCTION("IMPORTRANGE(""https://docs.google.com/spreadsheets/d/1QqKyyYR6Q21VydFLVH3TRQUabQu_ym0Zz7PgGX0-kHA/edit?usp=sharing"",""แผน!EB59"")"),5)</f>
        <v>5</v>
      </c>
      <c r="J290" s="214">
        <v>5</v>
      </c>
      <c r="K290" s="162">
        <f ca="1">IF(I290&gt;0,J290*100/I290,0)</f>
        <v>100</v>
      </c>
      <c r="L290" s="162"/>
      <c r="M290" s="162"/>
      <c r="N290" s="162"/>
      <c r="O290" s="162"/>
      <c r="P290" s="162"/>
    </row>
    <row r="291" spans="1:26" ht="19.5">
      <c r="A291" s="169"/>
      <c r="B291" s="170"/>
      <c r="C291" s="170"/>
      <c r="D291" s="177"/>
      <c r="E291" s="621" t="s">
        <v>133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IFERROR(__xludf.DUMMYFUNCTION("IMPORTRANGE(""https://docs.google.com/spreadsheets/d/1QqKyyYR6Q21VydFLVH3TRQUabQu_ym0Zz7PgGX0-kHA/edit?usp=sharing"",""แผน!EB59"")"),5)</f>
        <v>5</v>
      </c>
      <c r="J291" s="214">
        <v>5</v>
      </c>
      <c r="K291" s="162">
        <f ca="1">IF(I291&gt;0,J291*100/I291,0)</f>
        <v>100</v>
      </c>
      <c r="L291" s="162"/>
      <c r="M291" s="162"/>
      <c r="N291" s="162"/>
      <c r="O291" s="162"/>
      <c r="P291" s="162"/>
    </row>
    <row r="292" spans="1:26" ht="19.5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IFERROR(__xludf.DUMMYFUNCTION("IMPORTRANGE(""https://docs.google.com/spreadsheets/d/1QqKyyYR6Q21VydFLVH3TRQUabQu_ym0Zz7PgGX0-kHA/edit?usp=sharing"",""แผน!EB59"")"),5)</f>
        <v>5</v>
      </c>
      <c r="J293" s="214">
        <v>5</v>
      </c>
      <c r="K293" s="162">
        <f ca="1">IF(I293&gt;0,J293*100/I293,0)</f>
        <v>100</v>
      </c>
      <c r="L293" s="162"/>
      <c r="M293" s="162"/>
      <c r="N293" s="162"/>
      <c r="O293" s="162"/>
      <c r="P293" s="162"/>
    </row>
    <row r="294" spans="1:26" ht="19.5">
      <c r="A294" s="377"/>
      <c r="B294" s="378"/>
      <c r="C294" s="378"/>
      <c r="D294" s="380"/>
      <c r="E294" s="729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IFERROR(__xludf.DUMMYFUNCTION("IMPORTRANGE(""https://docs.google.com/spreadsheets/d/1QqKyyYR6Q21VydFLVH3TRQUabQu_ym0Zz7PgGX0-kHA/edit?usp=sharing"",""แผน!EB59"")"),5)</f>
        <v>5</v>
      </c>
      <c r="J294" s="423">
        <v>5</v>
      </c>
      <c r="K294" s="384">
        <f ca="1">IF(I294&gt;0,J294*100/I294,0)</f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15</v>
      </c>
      <c r="J297" s="443">
        <f>J309</f>
        <v>15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206800</v>
      </c>
      <c r="M298" s="154">
        <f ca="1">M299+M300</f>
        <v>206800</v>
      </c>
      <c r="N298" s="154">
        <f ca="1">N299+N300</f>
        <v>206800</v>
      </c>
      <c r="O298" s="154">
        <f t="shared" ref="O298:O306" ca="1" si="50">IF(L298&gt;0,N298*100/L298,0)</f>
        <v>100</v>
      </c>
      <c r="P298" s="154">
        <f t="shared" ref="P298:P306" ca="1" si="51">IF(M298&gt;0,N298*100/M298,0)</f>
        <v>100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206800</v>
      </c>
      <c r="M300" s="92">
        <f t="shared" ca="1" si="52"/>
        <v>206800</v>
      </c>
      <c r="N300" s="92">
        <f t="shared" ca="1" si="52"/>
        <v>206800</v>
      </c>
      <c r="O300" s="92">
        <f t="shared" ca="1" si="50"/>
        <v>100</v>
      </c>
      <c r="P300" s="92">
        <f t="shared" ca="1" si="51"/>
        <v>100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206800</v>
      </c>
      <c r="M301" s="497">
        <f ca="1">M302+M303</f>
        <v>206800</v>
      </c>
      <c r="N301" s="497">
        <f ca="1">N302+N303</f>
        <v>206800</v>
      </c>
      <c r="O301" s="497">
        <f t="shared" ca="1" si="50"/>
        <v>100</v>
      </c>
      <c r="P301" s="497">
        <f t="shared" ca="1" si="51"/>
        <v>100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IFERROR(__xludf.DUMMYFUNCTION("IMPORTRANGE(""https://docs.google.com/spreadsheets/d/1MeEWN-I1oV_STSDYn1IFDPWt_1FKiwhDph83XaGc0o0/edit?usp=sharing"",""งบพรบ!DS59"")"),206800)</f>
        <v>206800</v>
      </c>
      <c r="M303" s="92">
        <f ca="1">IFERROR(__xludf.DUMMYFUNCTION("IMPORTRANGE(""https://docs.google.com/spreadsheets/d/1MeEWN-I1oV_STSDYn1IFDPWt_1FKiwhDph83XaGc0o0/edit?usp=sharing"",""งบพรบ!DX59"")"),206800)</f>
        <v>206800</v>
      </c>
      <c r="N303" s="92">
        <f ca="1">IFERROR(__xludf.DUMMYFUNCTION("IMPORTRANGE(""https://docs.google.com/spreadsheets/d/1MeEWN-I1oV_STSDYn1IFDPWt_1FKiwhDph83XaGc0o0/edit?usp=sharing"",""งบพรบ!DZ59"")"),206800)</f>
        <v>206800</v>
      </c>
      <c r="O303" s="92">
        <f t="shared" ca="1" si="50"/>
        <v>100</v>
      </c>
      <c r="P303" s="92">
        <f t="shared" ca="1" si="51"/>
        <v>100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IFERROR(__xludf.DUMMYFUNCTION("IMPORTRANGE(""https://docs.google.com/spreadsheets/d/1MeEWN-I1oV_STSDYn1IFDPWt_1FKiwhDph83XaGc0o0/edit?usp=sharing"",""งบพรบ!DV59"")"),0)</f>
        <v>0</v>
      </c>
      <c r="M306" s="92">
        <f ca="1">IFERROR(__xludf.DUMMYFUNCTION("IMPORTRANGE(""https://docs.google.com/spreadsheets/d/1MeEWN-I1oV_STSDYn1IFDPWt_1FKiwhDph83XaGc0o0/edit?usp=sharing"",""งบพรบ!DY59"")"),0)</f>
        <v>0</v>
      </c>
      <c r="N306" s="92">
        <f ca="1">IFERROR(__xludf.DUMMYFUNCTION("IMPORTRANGE(""https://docs.google.com/spreadsheets/d/1MeEWN-I1oV_STSDYn1IFDPWt_1FKiwhDph83XaGc0o0/edit?usp=sharing"",""งบพรบ!EA59"")"),0)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IFERROR(__xludf.DUMMYFUNCTION("IMPORTRANGE(""https://docs.google.com/spreadsheets/d/1QqKyyYR6Q21VydFLVH3TRQUabQu_ym0Zz7PgGX0-kHA/edit?usp=sharing"",""แผน!ED59"")"),15)</f>
        <v>15</v>
      </c>
      <c r="J309" s="214">
        <v>15</v>
      </c>
      <c r="K309" s="497">
        <f ca="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IFERROR(__xludf.DUMMYFUNCTION("IMPORTRANGE(""https://docs.google.com/spreadsheets/d/1QqKyyYR6Q21VydFLVH3TRQUabQu_ym0Zz7PgGX0-kHA/edit?usp=sharing"",""แผน!ED59"")"),15)</f>
        <v>15</v>
      </c>
      <c r="J310" s="214">
        <v>15</v>
      </c>
      <c r="K310" s="497">
        <f ca="1">IF(I310&gt;0,J310*100/I310,0)</f>
        <v>100</v>
      </c>
      <c r="L310" s="497"/>
      <c r="M310" s="497"/>
      <c r="N310" s="497"/>
      <c r="O310" s="497"/>
      <c r="P310" s="497"/>
    </row>
    <row r="311" spans="1:26" ht="18.75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IFERROR(__xludf.DUMMYFUNCTION("IMPORTRANGE(""https://docs.google.com/spreadsheets/d/1QqKyyYR6Q21VydFLVH3TRQUabQu_ym0Zz7PgGX0-kHA/edit?usp=sharing"",""แผน!ED59"")"),15)</f>
        <v>15</v>
      </c>
      <c r="J311" s="214">
        <v>15</v>
      </c>
      <c r="K311" s="497">
        <f ca="1">IF(I311&gt;0,J311*100/I311,0)</f>
        <v>100</v>
      </c>
      <c r="L311" s="497"/>
      <c r="M311" s="497"/>
      <c r="N311" s="497"/>
      <c r="O311" s="497"/>
      <c r="P311" s="497"/>
    </row>
    <row r="312" spans="1:26" ht="18.75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IFERROR(__xludf.DUMMYFUNCTION("IMPORTRANGE(""https://docs.google.com/spreadsheets/d/1QqKyyYR6Q21VydFLVH3TRQUabQu_ym0Zz7PgGX0-kHA/edit?usp=sharing"",""แผน!EE59"")"),3)</f>
        <v>3</v>
      </c>
      <c r="J312" s="214">
        <v>3</v>
      </c>
      <c r="K312" s="497">
        <f ca="1">IF(I312&gt;0,J312*100/I312,0)</f>
        <v>100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IFERROR(__xludf.DUMMYFUNCTION("IMPORTRANGE(""https://docs.google.com/spreadsheets/d/1MeEWN-I1oV_STSDYn1IFDPWt_1FKiwhDph83XaGc0o0/edit?usp=sharing"",""งบพรบ!EC59"")"),0)</f>
        <v>0</v>
      </c>
      <c r="M320" s="92">
        <f ca="1">IFERROR(__xludf.DUMMYFUNCTION("IMPORTRANGE(""https://docs.google.com/spreadsheets/d/1MeEWN-I1oV_STSDYn1IFDPWt_1FKiwhDph83XaGc0o0/edit?usp=sharing"",""งบพรบ!EH59"")"),0)</f>
        <v>0</v>
      </c>
      <c r="N320" s="92">
        <f ca="1">IFERROR(__xludf.DUMMYFUNCTION("IMPORTRANGE(""https://docs.google.com/spreadsheets/d/1MeEWN-I1oV_STSDYn1IFDPWt_1FKiwhDph83XaGc0o0/edit?usp=sharing"",""งบพรบ!EJ59"")"),0)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IFERROR(__xludf.DUMMYFUNCTION("IMPORTRANGE(""https://docs.google.com/spreadsheets/d/1MeEWN-I1oV_STSDYn1IFDPWt_1FKiwhDph83XaGc0o0/edit?usp=sharing"",""งบพรบ!EF59"")"),0)</f>
        <v>0</v>
      </c>
      <c r="M323" s="92">
        <f ca="1">IFERROR(__xludf.DUMMYFUNCTION("IMPORTRANGE(""https://docs.google.com/spreadsheets/d/1MeEWN-I1oV_STSDYn1IFDPWt_1FKiwhDph83XaGc0o0/edit?usp=sharing"",""งบพรบ!EI59"")"),0)</f>
        <v>0</v>
      </c>
      <c r="N323" s="92">
        <f ca="1">IFERROR(__xludf.DUMMYFUNCTION("IMPORTRANGE(""https://docs.google.com/spreadsheets/d/1MeEWN-I1oV_STSDYn1IFDPWt_1FKiwhDph83XaGc0o0/edit?usp=sharing"",""งบพรบ!EK59"")"),0)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IFERROR(__xludf.DUMMYFUNCTION("IMPORTRANGE(""https://docs.google.com/spreadsheets/d/1QqKyyYR6Q21VydFLVH3TRQUabQu_ym0Zz7PgGX0-kHA/edit?usp=sharing"",""แผน!EF59"")"),0)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IFERROR(__xludf.DUMMYFUNCTION("IMPORTRANGE(""https://docs.google.com/spreadsheets/d/1QqKyyYR6Q21VydFLVH3TRQUabQu_ym0Zz7PgGX0-kHA/edit?usp=sharing"",""แผน!EG59"")"),600)</f>
        <v>600</v>
      </c>
      <c r="J327" s="443">
        <f ca="1">J338+J341+J342+J343</f>
        <v>804</v>
      </c>
      <c r="K327" s="444">
        <f ca="1">IF(I327&gt;0,J327*100/I327,0)</f>
        <v>134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788200</v>
      </c>
      <c r="M328" s="154">
        <f ca="1">M329+M330</f>
        <v>790700</v>
      </c>
      <c r="N328" s="154">
        <f ca="1">N329+N330</f>
        <v>790700</v>
      </c>
      <c r="O328" s="154">
        <f t="shared" ref="O328:O336" ca="1" si="56">IF(L328&gt;0,N328*100/L328,0)</f>
        <v>100.31717838112154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788200</v>
      </c>
      <c r="M330" s="92">
        <f t="shared" ca="1" si="58"/>
        <v>790700</v>
      </c>
      <c r="N330" s="92">
        <f t="shared" ca="1" si="58"/>
        <v>790700</v>
      </c>
      <c r="O330" s="92">
        <f t="shared" ca="1" si="56"/>
        <v>100.31717838112154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788200</v>
      </c>
      <c r="M331" s="497">
        <f ca="1">M332+M333</f>
        <v>790700</v>
      </c>
      <c r="N331" s="497">
        <f ca="1">N332+N333</f>
        <v>790700</v>
      </c>
      <c r="O331" s="497">
        <f t="shared" ca="1" si="56"/>
        <v>100.31717838112154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IFERROR(__xludf.DUMMYFUNCTION("IMPORTRANGE(""https://docs.google.com/spreadsheets/d/1MeEWN-I1oV_STSDYn1IFDPWt_1FKiwhDph83XaGc0o0/edit?usp=sharing"",""งบพรบ!EM59"")"),788200)</f>
        <v>788200</v>
      </c>
      <c r="M333" s="92">
        <f ca="1">IFERROR(__xludf.DUMMYFUNCTION("IMPORTRANGE(""https://docs.google.com/spreadsheets/d/1MeEWN-I1oV_STSDYn1IFDPWt_1FKiwhDph83XaGc0o0/edit?usp=sharing"",""งบพรบ!ER59"")"),790700)</f>
        <v>790700</v>
      </c>
      <c r="N333" s="92">
        <f ca="1">IFERROR(__xludf.DUMMYFUNCTION("IMPORTRANGE(""https://docs.google.com/spreadsheets/d/1MeEWN-I1oV_STSDYn1IFDPWt_1FKiwhDph83XaGc0o0/edit?usp=sharing"",""งบพรบ!ET59"")"),790700)</f>
        <v>790700</v>
      </c>
      <c r="O333" s="92">
        <f t="shared" ca="1" si="56"/>
        <v>100.31717838112154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IFERROR(__xludf.DUMMYFUNCTION("IMPORTRANGE(""https://docs.google.com/spreadsheets/d/1MeEWN-I1oV_STSDYn1IFDPWt_1FKiwhDph83XaGc0o0/edit?usp=sharing"",""งบพรบ!EP59"")"),0)</f>
        <v>0</v>
      </c>
      <c r="M336" s="92">
        <f ca="1">IFERROR(__xludf.DUMMYFUNCTION("IMPORTRANGE(""https://docs.google.com/spreadsheets/d/1MeEWN-I1oV_STSDYn1IFDPWt_1FKiwhDph83XaGc0o0/edit?usp=sharing"",""งบพรบ!ES59"")"),0)</f>
        <v>0</v>
      </c>
      <c r="N336" s="92">
        <f ca="1">IFERROR(__xludf.DUMMYFUNCTION("IMPORTRANGE(""https://docs.google.com/spreadsheets/d/1MeEWN-I1oV_STSDYn1IFDPWt_1FKiwhDph83XaGc0o0/edit?usp=sharing"",""งบพรบ!EU59"")"),0)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IFERROR(__xludf.DUMMYFUNCTION("IMPORTRANGE(""https://docs.google.com/spreadsheets/d/1QqKyyYR6Q21VydFLVH3TRQUabQu_ym0Zz7PgGX0-kHA/edit?usp=sharing"",""แผน!EG59"")"),600)</f>
        <v>600</v>
      </c>
      <c r="J338" s="269">
        <f ca="1">IFERROR(__xludf.DUMMYFUNCTION("IMPORTRANGE(""https://docs.google.com/spreadsheets/d/1kVcqe37tkHyjCSG3S0O1AXqVkqjo8mSIZil3BcpIysc/edit?usp=sharing"",""ศูนย์!D59"")"),770)</f>
        <v>770</v>
      </c>
      <c r="K338" s="497">
        <f ca="1">IF(I338&gt;0,J338*100/I338,0)</f>
        <v>128.33333333333334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IFERROR(__xludf.DUMMYFUNCTION("IMPORTRANGE(""https://docs.google.com/spreadsheets/d/1QqKyyYR6Q21VydFLVH3TRQUabQu_ym0Zz7PgGX0-kHA/edit?usp=sharing"",""แผน!EH59"")"),2)</f>
        <v>2</v>
      </c>
      <c r="J340" s="269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IFERROR(__xludf.DUMMYFUNCTION("IMPORTRANGE(""https://docs.google.com/spreadsheets/d/1kVcqe37tkHyjCSG3S0O1AXqVkqjo8mSIZil3BcpIysc/edit?usp=sharing"",""ศูนย์!G59"")"),1)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374080</v>
      </c>
      <c r="M345" s="154">
        <f ca="1">M346+M347</f>
        <v>404580</v>
      </c>
      <c r="N345" s="154">
        <f ca="1">N346+N347</f>
        <v>404580</v>
      </c>
      <c r="O345" s="154">
        <f t="shared" ref="O345:O353" ca="1" si="59">IF(L345&gt;0,N345*100/L345,0)</f>
        <v>108.15333618477331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374080</v>
      </c>
      <c r="M347" s="92">
        <f t="shared" ca="1" si="61"/>
        <v>404580</v>
      </c>
      <c r="N347" s="92">
        <f t="shared" ca="1" si="61"/>
        <v>404580</v>
      </c>
      <c r="O347" s="92">
        <f t="shared" ca="1" si="59"/>
        <v>108.15333618477331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200680</v>
      </c>
      <c r="M348" s="497">
        <f ca="1">M349+M350</f>
        <v>231180</v>
      </c>
      <c r="N348" s="497">
        <f ca="1">N349+N350</f>
        <v>231180</v>
      </c>
      <c r="O348" s="497">
        <f t="shared" ca="1" si="59"/>
        <v>115.19832569264501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IFERROR(__xludf.DUMMYFUNCTION("IMPORTRANGE(""https://docs.google.com/spreadsheets/d/1MeEWN-I1oV_STSDYn1IFDPWt_1FKiwhDph83XaGc0o0/edit?usp=sharing"",""งบพรบ!EW59"")"),200680)</f>
        <v>200680</v>
      </c>
      <c r="M350" s="92">
        <f ca="1">IFERROR(__xludf.DUMMYFUNCTION("IMPORTRANGE(""https://docs.google.com/spreadsheets/d/1MeEWN-I1oV_STSDYn1IFDPWt_1FKiwhDph83XaGc0o0/edit?usp=sharing"",""งบพรบ!FB59"")"),231180)</f>
        <v>231180</v>
      </c>
      <c r="N350" s="92">
        <f ca="1">IFERROR(__xludf.DUMMYFUNCTION("IMPORTRANGE(""https://docs.google.com/spreadsheets/d/1MeEWN-I1oV_STSDYn1IFDPWt_1FKiwhDph83XaGc0o0/edit?usp=sharing"",""งบพรบ!FD59"")"),231180)</f>
        <v>231180</v>
      </c>
      <c r="O350" s="92">
        <f t="shared" ca="1" si="59"/>
        <v>115.19832569264501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173400</v>
      </c>
      <c r="M351" s="497">
        <f ca="1">M352+M353</f>
        <v>173400</v>
      </c>
      <c r="N351" s="497">
        <f ca="1">N352+N353</f>
        <v>173400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IFERROR(__xludf.DUMMYFUNCTION("IMPORTRANGE(""https://docs.google.com/spreadsheets/d/1MeEWN-I1oV_STSDYn1IFDPWt_1FKiwhDph83XaGc0o0/edit?usp=sharing"",""งบพรบ!EZ59"")"),173400)</f>
        <v>173400</v>
      </c>
      <c r="M353" s="92">
        <f ca="1">IFERROR(__xludf.DUMMYFUNCTION("IMPORTRANGE(""https://docs.google.com/spreadsheets/d/1MeEWN-I1oV_STSDYn1IFDPWt_1FKiwhDph83XaGc0o0/edit?usp=sharing"",""งบพรบ!FC59"")"),173400)</f>
        <v>173400</v>
      </c>
      <c r="N353" s="92">
        <f ca="1">IFERROR(__xludf.DUMMYFUNCTION("IMPORTRANGE(""https://docs.google.com/spreadsheets/d/1MeEWN-I1oV_STSDYn1IFDPWt_1FKiwhDph83XaGc0o0/edit?usp=sharing"",""งบพรบ!FE59"")"),173400)</f>
        <v>173400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IFERROR(__xludf.DUMMYFUNCTION("IMPORTRANGE(""https://docs.google.com/spreadsheets/d/1QqKyyYR6Q21VydFLVH3TRQUabQu_ym0Zz7PgGX0-kHA/edit?usp=sharing"",""แผน!EO59"")"),0)</f>
        <v>0</v>
      </c>
      <c r="J359" s="269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IFERROR(__xludf.DUMMYFUNCTION("IMPORTRANGE(""https://docs.google.com/spreadsheets/d/1QqKyyYR6Q21VydFLVH3TRQUabQu_ym0Zz7PgGX0-kHA/edit?usp=sharing"",""แผน!EP59"")"),0)</f>
        <v>0</v>
      </c>
      <c r="J360" s="269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IFERROR(__xludf.DUMMYFUNCTION("IMPORTRANGE(""https://docs.google.com/spreadsheets/d/1QqKyyYR6Q21VydFLVH3TRQUabQu_ym0Zz7PgGX0-kHA/edit?usp=sharing"",""แผน!EP59"")"),0)</f>
        <v>0</v>
      </c>
      <c r="J362" s="269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5</v>
      </c>
      <c r="J364" s="478">
        <f ca="1">J365+J374</f>
        <v>2</v>
      </c>
      <c r="K364" s="479">
        <f t="shared" ca="1" si="62"/>
        <v>40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IFERROR(__xludf.DUMMYFUNCTION("IMPORTRANGE(""https://docs.google.com/spreadsheets/d/1QqKyyYR6Q21VydFLVH3TRQUabQu_ym0Zz7PgGX0-kHA/edit?usp=sharing"",""แผน!EI59"")"),0)</f>
        <v>0</v>
      </c>
      <c r="J369" s="269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IFERROR(__xludf.DUMMYFUNCTION("IMPORTRANGE(""https://docs.google.com/spreadsheets/d/1QqKyyYR6Q21VydFLVH3TRQUabQu_ym0Zz7PgGX0-kHA/edit?usp=sharing"",""แผน!EJ59"")"),0)</f>
        <v>0</v>
      </c>
      <c r="J370" s="269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IFERROR(__xludf.DUMMYFUNCTION("IMPORTRANGE(""https://docs.google.com/spreadsheets/d/1QqKyyYR6Q21VydFLVH3TRQUabQu_ym0Zz7PgGX0-kHA/edit?usp=sharing"",""แผน!EJ59"")"),0)</f>
        <v>0</v>
      </c>
      <c r="J372" s="269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>
      <c r="A373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IFERROR(__xludf.DUMMYFUNCTION("IMPORTRANGE(""https://docs.google.com/spreadsheets/d/1QqKyyYR6Q21VydFLVH3TRQUabQu_ym0Zz7PgGX0-kHA/edit?usp=sharing"",""แผน!EU59"")"),5)</f>
        <v>5</v>
      </c>
      <c r="J374" s="490">
        <f ca="1">J381</f>
        <v>2</v>
      </c>
      <c r="K374" s="491">
        <f t="shared" ca="1" si="63"/>
        <v>40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IFERROR(__xludf.DUMMYFUNCTION("IMPORTRANGE(""https://docs.google.com/spreadsheets/d/1QqKyyYR6Q21VydFLVH3TRQUabQu_ym0Zz7PgGX0-kHA/edit?usp=sharing"",""แผน!ET59"")"),0)</f>
        <v>0</v>
      </c>
      <c r="J378" s="269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IFERROR(__xludf.DUMMYFUNCTION("IMPORTRANGE(""https://docs.google.com/spreadsheets/d/1QqKyyYR6Q21VydFLVH3TRQUabQu_ym0Zz7PgGX0-kHA/edit?usp=sharing"",""แผน!EU59"")"),5)</f>
        <v>5</v>
      </c>
      <c r="J379" s="269">
        <f ca="1">IFERROR(__xludf.DUMMYFUNCTION("IMPORTRANGE(""https://docs.google.com/spreadsheets/d/1XWAQStnk-4SwqDmLtmXYiTMKHgktTP8We1SCoS47DrQ/edit?usp=sharing"",""จัดที่ดิน!AJ59"")"),8)</f>
        <v>8</v>
      </c>
      <c r="K379" s="497">
        <f t="shared" ca="1" si="64"/>
        <v>160</v>
      </c>
      <c r="L379" s="162"/>
      <c r="M379" s="162"/>
      <c r="N379" s="162"/>
      <c r="O379" s="162"/>
      <c r="P379" s="162"/>
    </row>
    <row r="380" spans="1:26" ht="18.75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IFERROR(__xludf.DUMMYFUNCTION("IMPORTRANGE(""https://docs.google.com/spreadsheets/d/1XWAQStnk-4SwqDmLtmXYiTMKHgktTP8We1SCoS47DrQ/edit?usp=sharing"",""จัดที่ดิน!AK59"")"),84.33)</f>
        <v>84.33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IFERROR(__xludf.DUMMYFUNCTION("IMPORTRANGE(""https://docs.google.com/spreadsheets/d/1QqKyyYR6Q21VydFLVH3TRQUabQu_ym0Zz7PgGX0-kHA/edit?usp=sharing"",""แผน!EU59"")"),5)</f>
        <v>5</v>
      </c>
      <c r="J381" s="269">
        <f ca="1">IFERROR(__xludf.DUMMYFUNCTION("IMPORTRANGE(""https://docs.google.com/spreadsheets/d/1XWAQStnk-4SwqDmLtmXYiTMKHgktTP8We1SCoS47DrQ/edit?usp=sharing"",""จัดที่ดิน!AL59"")"),2)</f>
        <v>2</v>
      </c>
      <c r="K381" s="497">
        <f t="shared" ca="1" si="64"/>
        <v>40</v>
      </c>
      <c r="L381" s="162"/>
      <c r="M381" s="162"/>
      <c r="N381" s="162"/>
      <c r="O381" s="162"/>
      <c r="P381" s="162"/>
    </row>
    <row r="382" spans="1:26" ht="18.75">
      <c r="A382" s="470" t="str">
        <f ca="1">IFERROR(__xludf.DUMMYFUNCTION("IMPORTRANGE(""https://docs.google.com/spreadsheets/d/1RCyyhEJggpv17xgUrW2PS9v7yLqUjmy4YI2wzp0s_Mw/edit#gid=0"",""Sheet1!b4"")")," ข้อมูลจาก ALRO Land Online (ข้อมูล ณ วันที่ 2 ต.ค. 66 เวลา 08.00 น.)")</f>
        <v xml:space="preserve"> ข้อมูลจาก ALRO Land Online (ข้อมูล ณ วันที่ 2 ต.ค. 66 เวลา 08.00 น.)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IFERROR(__xludf.DUMMYFUNCTION("IMPORTRANGE(""https://docs.google.com/spreadsheets/d/1XWAQStnk-4SwqDmLtmXYiTMKHgktTP8We1SCoS47DrQ/edit?usp=sharing"",""จัดที่ดิน!AM59"")"),7.5)</f>
        <v>7.5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69"/>
      <c r="B384" s="170"/>
      <c r="C384" s="32" t="s">
        <v>16</v>
      </c>
      <c r="D384" s="857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>
      <c r="A385" s="377"/>
      <c r="B385" s="380"/>
      <c r="C385" s="378"/>
      <c r="D385" s="380"/>
      <c r="E385" s="499" t="s">
        <v>170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IFERROR(__xludf.DUMMYFUNCTION("IMPORTRANGE(""https://docs.google.com/spreadsheets/d/1XWAQStnk-4SwqDmLtmXYiTMKHgktTP8We1SCoS47DrQ/edit?usp=sharing"",""จัดที่ดิน!AP59"")"),2)</f>
        <v>2</v>
      </c>
      <c r="K385" s="502">
        <f ca="1">IF(I385&gt;0,J385*100/I385,0)</f>
        <v>40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IFERROR(__xludf.DUMMYFUNCTION("IMPORTRANGE(""https://docs.google.com/spreadsheets/d/1MeEWN-I1oV_STSDYn1IFDPWt_1FKiwhDph83XaGc0o0/edit?usp=sharing"",""งบพรบ!FG59"")"),0)</f>
        <v>0</v>
      </c>
      <c r="M394" s="92">
        <f ca="1">IFERROR(__xludf.DUMMYFUNCTION("IMPORTRANGE(""https://docs.google.com/spreadsheets/d/1MeEWN-I1oV_STSDYn1IFDPWt_1FKiwhDph83XaGc0o0/edit?usp=sharing"",""งบพรบ!FL59"")"),0)</f>
        <v>0</v>
      </c>
      <c r="N394" s="92">
        <f ca="1">IFERROR(__xludf.DUMMYFUNCTION("IMPORTRANGE(""https://docs.google.com/spreadsheets/d/1MeEWN-I1oV_STSDYn1IFDPWt_1FKiwhDph83XaGc0o0/edit?usp=sharing"",""งบพรบ!FN59"")"),0)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IFERROR(__xludf.DUMMYFUNCTION("IMPORTRANGE(""https://docs.google.com/spreadsheets/d/1MeEWN-I1oV_STSDYn1IFDPWt_1FKiwhDph83XaGc0o0/edit?usp=sharing"",""งบพรบ!FJ59"")"),0)</f>
        <v>0</v>
      </c>
      <c r="M397" s="92">
        <f ca="1">IFERROR(__xludf.DUMMYFUNCTION("IMPORTRANGE(""https://docs.google.com/spreadsheets/d/1MeEWN-I1oV_STSDYn1IFDPWt_1FKiwhDph83XaGc0o0/edit?usp=sharing"",""งบพรบ!FM59"")"),0)</f>
        <v>0</v>
      </c>
      <c r="N397" s="92">
        <f ca="1">IFERROR(__xludf.DUMMYFUNCTION("IMPORTRANGE(""https://docs.google.com/spreadsheets/d/1MeEWN-I1oV_STSDYn1IFDPWt_1FKiwhDph83XaGc0o0/edit?usp=sharing"",""งบพรบ!FO59"")"),0)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IFERROR(__xludf.DUMMYFUNCTION("IMPORTRANGE(""https://docs.google.com/spreadsheets/d/1MeEWN-I1oV_STSDYn1IFDPWt_1FKiwhDph83XaGc0o0/edit?usp=sharing"",""งบพรบ!FQ59"")"),0)</f>
        <v>0</v>
      </c>
      <c r="M407" s="92">
        <f ca="1">IFERROR(__xludf.DUMMYFUNCTION("IMPORTRANGE(""https://docs.google.com/spreadsheets/d/1MeEWN-I1oV_STSDYn1IFDPWt_1FKiwhDph83XaGc0o0/edit?usp=sharing"",""งบพรบ!FV59"")"),0)</f>
        <v>0</v>
      </c>
      <c r="N407" s="92">
        <f ca="1">IFERROR(__xludf.DUMMYFUNCTION("IMPORTRANGE(""https://docs.google.com/spreadsheets/d/1MeEWN-I1oV_STSDYn1IFDPWt_1FKiwhDph83XaGc0o0/edit?usp=sharing"",""งบพรบ!FX59"")"),0)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IFERROR(__xludf.DUMMYFUNCTION("IMPORTRANGE(""https://docs.google.com/spreadsheets/d/1MeEWN-I1oV_STSDYn1IFDPWt_1FKiwhDph83XaGc0o0/edit?usp=sharing"",""งบพรบ!FT59"")"),0)</f>
        <v>0</v>
      </c>
      <c r="M410" s="92">
        <f ca="1">IFERROR(__xludf.DUMMYFUNCTION("IMPORTRANGE(""https://docs.google.com/spreadsheets/d/1MeEWN-I1oV_STSDYn1IFDPWt_1FKiwhDph83XaGc0o0/edit?usp=sharing"",""งบพรบ!FW59"")"),0)</f>
        <v>0</v>
      </c>
      <c r="N410" s="92">
        <f ca="1">IFERROR(__xludf.DUMMYFUNCTION("IMPORTRANGE(""https://docs.google.com/spreadsheets/d/1MeEWN-I1oV_STSDYn1IFDPWt_1FKiwhDph83XaGc0o0/edit?usp=sharing"",""งบพรบ!FY59"")"),0)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523510</v>
      </c>
      <c r="M414" s="549">
        <f ca="1">M419+M444+M467+M502+M523+M544+M629+M655+M685+M737+M754+M770+M786+M805</f>
        <v>454195</v>
      </c>
      <c r="N414" s="549">
        <f>N419+N444+N467+N502+N523+N544+N629+N655+N685+N737+N754+N770+N786+N805</f>
        <v>454195</v>
      </c>
      <c r="O414" s="549">
        <f ca="1">IF(L414&gt;0,N414*100/L414,0)</f>
        <v>86.759565242306735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90</v>
      </c>
      <c r="J417" s="565">
        <f ca="1">J433</f>
        <v>90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2</v>
      </c>
      <c r="J418" s="565">
        <f>J434</f>
        <v>2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271030</v>
      </c>
      <c r="M419" s="154">
        <f ca="1">M420+M421</f>
        <v>223890</v>
      </c>
      <c r="N419" s="154">
        <f>N420+N421</f>
        <v>223890</v>
      </c>
      <c r="O419" s="154">
        <f t="shared" ref="O419:O424" ca="1" si="71">IF(L419&gt;0,N419*100/L419,0)</f>
        <v>82.607091465889383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271030</v>
      </c>
      <c r="M421" s="92">
        <f t="shared" ca="1" si="73"/>
        <v>223890</v>
      </c>
      <c r="N421" s="92">
        <f t="shared" si="73"/>
        <v>223890</v>
      </c>
      <c r="O421" s="92">
        <f t="shared" ca="1" si="71"/>
        <v>82.607091465889383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271030</v>
      </c>
      <c r="M422" s="497">
        <f ca="1">M423+M424</f>
        <v>223890</v>
      </c>
      <c r="N422" s="497">
        <f>N423+N424</f>
        <v>223890</v>
      </c>
      <c r="O422" s="497">
        <f t="shared" ca="1" si="71"/>
        <v>82.607091465889383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IFERROR(__xludf.DUMMYFUNCTION("IMPORTRANGE(""https://docs.google.com/spreadsheets/d/1QqKyyYR6Q21VydFLVH3TRQUabQu_ym0Zz7PgGX0-kHA/edit?usp=sharing"",""แผน!EY59"")"),271030)</f>
        <v>271030</v>
      </c>
      <c r="M424" s="92">
        <f ca="1">L424-47140</f>
        <v>223890</v>
      </c>
      <c r="N424" s="92">
        <f>N425+N426+N427+N428</f>
        <v>223890</v>
      </c>
      <c r="O424" s="92">
        <f t="shared" ca="1" si="71"/>
        <v>82.607091465889383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223890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v>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IFERROR(__xludf.DUMMYFUNCTION("IMPORTRANGE(""https://docs.google.com/spreadsheets/d/1QqKyyYR6Q21VydFLVH3TRQUabQu_ym0Zz7PgGX0-kHA/edit?usp=sharing"",""แผน!FB59"")"),0)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2</v>
      </c>
      <c r="J434" s="676">
        <f>J438+J440</f>
        <v>2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74">IF(I437&gt;0,J437*100/I437,0)</f>
        <v>100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IFERROR(__xludf.DUMMYFUNCTION("IMPORTRANGE(""https://docs.google.com/spreadsheets/d/1QqKyyYR6Q21VydFLVH3TRQUabQu_ym0Zz7PgGX0-kHA/edit?usp=sharing"",""แผน!FE59"")"),1)</f>
        <v>1</v>
      </c>
      <c r="J438" s="214">
        <v>1</v>
      </c>
      <c r="K438" s="497">
        <f t="shared" ca="1" si="74"/>
        <v>100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IFERROR(__xludf.DUMMYFUNCTION("IMPORTRANGE(""https://docs.google.com/spreadsheets/d/1QqKyyYR6Q21VydFLVH3TRQUabQu_ym0Zz7PgGX0-kHA/edit?usp=sharing"",""แผน!FG59"")"),1)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 hidden="1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IFERROR(__xludf.DUMMYFUNCTION("IMPORTRANGE(""https://docs.google.com/spreadsheets/d/1QqKyyYR6Q21VydFLVH3TRQUabQu_ym0Zz7PgGX0-kHA/edit?usp=sharing"",""แผน!FH59"")"),0)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10</v>
      </c>
      <c r="J442" s="585">
        <f>J460</f>
        <v>10</v>
      </c>
      <c r="K442" s="586">
        <f t="shared" ca="1" si="7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20</v>
      </c>
      <c r="J443" s="565">
        <f>J462</f>
        <v>20</v>
      </c>
      <c r="K443" s="566">
        <f t="shared" ca="1" si="7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70060</v>
      </c>
      <c r="M444" s="194">
        <f ca="1">M445+M446</f>
        <v>62395</v>
      </c>
      <c r="N444" s="194">
        <f>N445+N446</f>
        <v>62395</v>
      </c>
      <c r="O444" s="194">
        <f t="shared" ref="O444:O449" ca="1" si="75">IF(L444&gt;0,N444*100/L444,0)</f>
        <v>89.059377676277478</v>
      </c>
      <c r="P444" s="194">
        <f t="shared" ref="P444:P449" ca="1" si="76">IF(M444&gt;0,N444*100/M444,0)</f>
        <v>100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70060</v>
      </c>
      <c r="M446" s="92">
        <f t="shared" ca="1" si="77"/>
        <v>62395</v>
      </c>
      <c r="N446" s="92">
        <f t="shared" si="77"/>
        <v>62395</v>
      </c>
      <c r="O446" s="92">
        <f t="shared" ca="1" si="75"/>
        <v>89.059377676277478</v>
      </c>
      <c r="P446" s="92">
        <f t="shared" ca="1" si="76"/>
        <v>100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70060</v>
      </c>
      <c r="M447" s="497">
        <f ca="1">M448+M449</f>
        <v>62395</v>
      </c>
      <c r="N447" s="497">
        <f>N448+N449</f>
        <v>62395</v>
      </c>
      <c r="O447" s="497">
        <f t="shared" ca="1" si="75"/>
        <v>89.059377676277478</v>
      </c>
      <c r="P447" s="497">
        <f t="shared" ca="1" si="76"/>
        <v>100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IFERROR(__xludf.DUMMYFUNCTION("IMPORTRANGE(""https://docs.google.com/spreadsheets/d/1QqKyyYR6Q21VydFLVH3TRQUabQu_ym0Zz7PgGX0-kHA/edit?usp=sharing"",""แผน!FJ59"")"),70060)</f>
        <v>70060</v>
      </c>
      <c r="M449" s="92">
        <f ca="1">L449+10990-18655</f>
        <v>62395</v>
      </c>
      <c r="N449" s="92">
        <f>N450+N451+N452+N453</f>
        <v>62395</v>
      </c>
      <c r="O449" s="92">
        <f t="shared" ca="1" si="75"/>
        <v>89.059377676277478</v>
      </c>
      <c r="P449" s="92">
        <f t="shared" ca="1" si="76"/>
        <v>100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26000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18895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IFERROR(__xludf.DUMMYFUNCTION("IMPORTRANGE(""https://docs.google.com/spreadsheets/d/1QqKyyYR6Q21VydFLVH3TRQUabQu_ym0Zz7PgGX0-kHA/edit?usp=sharing"",""แผน!FM59"")"),0)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IFERROR(__xludf.DUMMYFUNCTION("IMPORTRANGE(""https://docs.google.com/spreadsheets/d/1QqKyyYR6Q21VydFLVH3TRQUabQu_ym0Zz7PgGX0-kHA/edit?usp=sharing"",""แผน!FN59"")"),10)</f>
        <v>10</v>
      </c>
      <c r="J460" s="214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IFERROR(__xludf.DUMMYFUNCTION("IMPORTRANGE(""https://docs.google.com/spreadsheets/d/1QqKyyYR6Q21VydFLVH3TRQUabQu_ym0Zz7PgGX0-kHA/edit?usp=sharing"",""แผน!FO59"")"),20)</f>
        <v>20</v>
      </c>
      <c r="J462" s="214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IFERROR(__xludf.DUMMYFUNCTION("IMPORTRANGE(""https://docs.google.com/spreadsheets/d/1QqKyyYR6Q21VydFLVH3TRQUabQu_ym0Zz7PgGX0-kHA/edit?usp=sharing"",""แผน!FO59"")"),20)</f>
        <v>20</v>
      </c>
      <c r="J463" s="214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IFERROR(__xludf.DUMMYFUNCTION("IMPORTRANGE(""https://docs.google.com/spreadsheets/d/1QqKyyYR6Q21VydFLVH3TRQUabQu_ym0Zz7PgGX0-kHA/edit?usp=sharing"",""แผน!FN59"")"),10)</f>
        <v>10</v>
      </c>
      <c r="J464" s="214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IFERROR(__xludf.DUMMYFUNCTION("IMPORTRANGE(""https://docs.google.com/spreadsheets/d/1QqKyyYR6Q21VydFLVH3TRQUabQu_ym0Zz7PgGX0-kHA/edit?usp=sharing"",""แผน!FS59"")"),0)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IFERROR(__xludf.DUMMYFUNCTION("IMPORTRANGE(""https://docs.google.com/spreadsheets/d/1QqKyyYR6Q21VydFLVH3TRQUabQu_ym0Zz7PgGX0-kHA/edit?usp=sharing"",""แผน!FV59"")"),0)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IFERROR(__xludf.DUMMYFUNCTION("IMPORTRANGE(""https://docs.google.com/spreadsheets/d/1QqKyyYR6Q21VydFLVH3TRQUabQu_ym0Zz7PgGX0-kHA/edit?usp=sharing"",""แผน!FY59"")"),0)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IFERROR(__xludf.DUMMYFUNCTION("IMPORTRANGE(""https://docs.google.com/spreadsheets/d/1QqKyyYR6Q21VydFLVH3TRQUabQu_ym0Zz7PgGX0-kHA/edit?usp=sharing"",""แผน!FZ59"")"),0)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IFERROR(__xludf.DUMMYFUNCTION("IMPORTRANGE(""https://docs.google.com/spreadsheets/d/1QqKyyYR6Q21VydFLVH3TRQUabQu_ym0Zz7PgGX0-kHA/edit?usp=sharing"",""แผน!GA59"")"),0)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IFERROR(__xludf.DUMMYFUNCTION("IMPORTRANGE(""https://docs.google.com/spreadsheets/d/1QqKyyYR6Q21VydFLVH3TRQUabQu_ym0Zz7PgGX0-kHA/edit?usp=sharing"",""แผน!GB59"")"),0)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IFERROR(__xludf.DUMMYFUNCTION("IMPORTRANGE(""https://docs.google.com/spreadsheets/d/1QqKyyYR6Q21VydFLVH3TRQUabQu_ym0Zz7PgGX0-kHA/edit?usp=sharing"",""แผน!GC59"")"),0)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IFERROR(__xludf.DUMMYFUNCTION("IMPORTRANGE(""https://docs.google.com/spreadsheets/d/1QqKyyYR6Q21VydFLVH3TRQUabQu_ym0Zz7PgGX0-kHA/edit?usp=sharing"",""แผน!FY59"")"),0)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IFERROR(__xludf.DUMMYFUNCTION("IMPORTRANGE(""https://docs.google.com/spreadsheets/d/1QqKyyYR6Q21VydFLVH3TRQUabQu_ym0Zz7PgGX0-kHA/edit?usp=sharing"",""แผน!GA59"")"),0)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IFERROR(__xludf.DUMMYFUNCTION("IMPORTRANGE(""https://docs.google.com/spreadsheets/d/1QqKyyYR6Q21VydFLVH3TRQUabQu_ym0Zz7PgGX0-kHA/edit?usp=sharing"",""แผน!GQ59"")"),0)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IFERROR(__xludf.DUMMYFUNCTION("IMPORTRANGE(""https://docs.google.com/spreadsheets/d/1QqKyyYR6Q21VydFLVH3TRQUabQu_ym0Zz7PgGX0-kHA/edit?usp=sharing"",""แผน!GT59"")"),0)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IFERROR(__xludf.DUMMYFUNCTION("IMPORTRANGE(""https://docs.google.com/spreadsheets/d/1QqKyyYR6Q21VydFLVH3TRQUabQu_ym0Zz7PgGX0-kHA/edit?usp=sharing"",""แผน!GV59"")"),0)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IFERROR(__xludf.DUMMYFUNCTION("IMPORTRANGE(""https://docs.google.com/spreadsheets/d/1QqKyyYR6Q21VydFLVH3TRQUabQu_ym0Zz7PgGX0-kHA/edit?usp=sharing"",""แผน!GW59"")"),0)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IFERROR(__xludf.DUMMYFUNCTION("IMPORTRANGE(""https://docs.google.com/spreadsheets/d/1QqKyyYR6Q21VydFLVH3TRQUabQu_ym0Zz7PgGX0-kHA/edit?usp=sharing"",""แผน!GX59"")"),0)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IFERROR(__xludf.DUMMYFUNCTION("IMPORTRANGE(""https://docs.google.com/spreadsheets/d/1QqKyyYR6Q21VydFLVH3TRQUabQu_ym0Zz7PgGX0-kHA/edit?usp=sharing"",""แผน!GY59"")"),0)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IFERROR(__xludf.DUMMYFUNCTION("IMPORTRANGE(""https://docs.google.com/spreadsheets/d/1QqKyyYR6Q21VydFLVH3TRQUabQu_ym0Zz7PgGX0-kHA/edit?usp=sharing"",""แผน!GZ59"")"),0)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120300</v>
      </c>
      <c r="M544" s="154">
        <f ca="1">M545+M546</f>
        <v>120300</v>
      </c>
      <c r="N544" s="154">
        <f>N545+N546</f>
        <v>120300</v>
      </c>
      <c r="O544" s="154">
        <f t="shared" ref="O544:O549" ca="1" si="88">IF(L544&gt;0,N544*100/L544,0)</f>
        <v>100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120300</v>
      </c>
      <c r="M546" s="92">
        <f ca="1">M549+M556</f>
        <v>120300</v>
      </c>
      <c r="N546" s="92">
        <f>N549+N556</f>
        <v>120300</v>
      </c>
      <c r="O546" s="92">
        <f t="shared" ca="1" si="88"/>
        <v>100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120300</v>
      </c>
      <c r="M547" s="497">
        <f ca="1">M548+M549</f>
        <v>120300</v>
      </c>
      <c r="N547" s="497">
        <f>N548+N549</f>
        <v>120300</v>
      </c>
      <c r="O547" s="497">
        <f t="shared" ca="1" si="88"/>
        <v>100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IFERROR(__xludf.DUMMYFUNCTION("IMPORTRANGE(""https://docs.google.com/spreadsheets/d/1QqKyyYR6Q21VydFLVH3TRQUabQu_ym0Zz7PgGX0-kHA/edit?usp=sharing"",""แผน!HB59"")"),120300)</f>
        <v>120300</v>
      </c>
      <c r="M549" s="92">
        <f ca="1">L549</f>
        <v>120300</v>
      </c>
      <c r="N549" s="92">
        <f>N550+N551+N552+N553+N554</f>
        <v>120300</v>
      </c>
      <c r="O549" s="92">
        <f t="shared" ca="1" si="88"/>
        <v>100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72575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47725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IFERROR(__xludf.DUMMYFUNCTION("IMPORTRANGE(""https://docs.google.com/spreadsheets/d/1QqKyyYR6Q21VydFLVH3TRQUabQu_ym0Zz7PgGX0-kHA/edit?usp=sharing"",""แผน!HF59"")"),0)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IFERROR(__xludf.DUMMYFUNCTION("IMPORTRANGE(""https://docs.google.com/spreadsheets/d/1QqKyyYR6Q21VydFLVH3TRQUabQu_ym0Zz7PgGX0-kHA/edit?usp=sharing"",""แผน!HH59"")"),0)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IFERROR(__xludf.DUMMYFUNCTION("IMPORTRANGE(""https://docs.google.com/spreadsheets/d/1QqKyyYR6Q21VydFLVH3TRQUabQu_ym0Zz7PgGX0-kHA/edit?usp=sharing"",""แผน!HG59"")"),0)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IFERROR(__xludf.DUMMYFUNCTION("IMPORTRANGE(""https://docs.google.com/spreadsheets/d/1QqKyyYR6Q21VydFLVH3TRQUabQu_ym0Zz7PgGX0-kHA/edit?usp=sharing"",""แผน!HH59"")"),0)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IFERROR(__xludf.DUMMYFUNCTION("IMPORTRANGE(""https://docs.google.com/spreadsheets/d/1QqKyyYR6Q21VydFLVH3TRQUabQu_ym0Zz7PgGX0-kHA/edit?usp=sharing"",""แผน!HG59"")"),0)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IFERROR(__xludf.DUMMYFUNCTION("IMPORTRANGE(""https://docs.google.com/spreadsheets/d/1QqKyyYR6Q21VydFLVH3TRQUabQu_ym0Zz7PgGX0-kHA/edit?usp=sharing"",""แผน!HH59"")"),0)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IFERROR(__xludf.DUMMYFUNCTION("IMPORTRANGE(""https://docs.google.com/spreadsheets/d/1QqKyyYR6Q21VydFLVH3TRQUabQu_ym0Zz7PgGX0-kHA/edit?usp=sharing"",""แผน!HG59"")"),0)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3540.25</v>
      </c>
      <c r="J592" s="703">
        <f>J593</f>
        <v>3540.25</v>
      </c>
      <c r="K592" s="672">
        <f ca="1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2">
        <f>J595+J603+J609</f>
        <v>3540.25</v>
      </c>
      <c r="K593" s="410">
        <f ca="1">IF(I593&gt;0,J593*100/I593,0)</f>
        <v>100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IFERROR(__xludf.DUMMYFUNCTION("IMPORTRANGE(""https://docs.google.com/spreadsheets/d/1QqKyyYR6Q21VydFLVH3TRQUabQu_ym0Zz7PgGX0-kHA/edit?usp=sharing"",""แผน!HI59"")"),181)</f>
        <v>181</v>
      </c>
      <c r="J594" s="192">
        <f>J596+J604+J610</f>
        <v>181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3223.14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167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880">
        <v>3223.14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167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317.11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14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317.11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14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IFERROR(__xludf.DUMMYFUNCTION("IMPORTRANGE(""https://docs.google.com/spreadsheets/d/1QqKyyYR6Q21VydFLVH3TRQUabQu_ym0Zz7PgGX0-kHA/edit?usp=sharing"",""แผน!HN59"")"),0)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IFERROR(__xludf.DUMMYFUNCTION("IMPORTRANGE(""https://docs.google.com/spreadsheets/d/1QqKyyYR6Q21VydFLVH3TRQUabQu_ym0Zz7PgGX0-kHA/edit?usp=sharing"",""แผน!HQ59"")"),0)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IFERROR(__xludf.DUMMYFUNCTION("IMPORTRANGE(""https://docs.google.com/spreadsheets/d/1QqKyyYR6Q21VydFLVH3TRQUabQu_ym0Zz7PgGX0-kHA/edit?usp=sharing"",""แผน!HR59"")"),0)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IFERROR(__xludf.DUMMYFUNCTION("IMPORTRANGE(""https://docs.google.com/spreadsheets/d/1QqKyyYR6Q21VydFLVH3TRQUabQu_ym0Zz7PgGX0-kHA/edit?usp=sharing"",""แผน!HR59"")"),0)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IFERROR(__xludf.DUMMYFUNCTION("IMPORTRANGE(""https://docs.google.com/spreadsheets/d/1XWAQStnk-4SwqDmLtmXYiTMKHgktTP8We1SCoS47DrQ/edit?usp=sharing"",""จัดที่ดิน!AS59"")"),0)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IFERROR(__xludf.DUMMYFUNCTION("IMPORTRANGE(""https://docs.google.com/spreadsheets/d/1QqKyyYR6Q21VydFLVH3TRQUabQu_ym0Zz7PgGX0-kHA/edit?usp=sharing"",""แผน!HS59"")"),0)</f>
        <v>0</v>
      </c>
      <c r="J647" s="269">
        <f ca="1">IFERROR(__xludf.DUMMYFUNCTION("IMPORTRANGE(""https://docs.google.com/spreadsheets/d/1XWAQStnk-4SwqDmLtmXYiTMKHgktTP8We1SCoS47DrQ/edit?usp=sharing"",""จัดที่ดิน!AU59"")"),0)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IFERROR(__xludf.DUMMYFUNCTION("IMPORTRANGE(""https://docs.google.com/spreadsheets/d/1QqKyyYR6Q21VydFLVH3TRQUabQu_ym0Zz7PgGX0-kHA/edit?usp=sharing"",""แผน!HS59"")"),0)</f>
        <v>0</v>
      </c>
      <c r="J649" s="269">
        <f ca="1">IFERROR(__xludf.DUMMYFUNCTION("IMPORTRANGE(""https://docs.google.com/spreadsheets/d/1XWAQStnk-4SwqDmLtmXYiTMKHgktTP8We1SCoS47DrQ/edit?usp=sharing"",""จัดที่ดิน!AW59"")"),0)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IFERROR(__xludf.DUMMYFUNCTION("IMPORTRANGE(""https://docs.google.com/spreadsheets/d/1QqKyyYR6Q21VydFLVH3TRQUabQu_ym0Zz7PgGX0-kHA/edit?usp=sharing"",""แผน!HS59"")"),0)</f>
        <v>0</v>
      </c>
      <c r="J651" s="269">
        <f ca="1">IFERROR(__xludf.DUMMYFUNCTION("IMPORTRANGE(""https://docs.google.com/spreadsheets/d/1XWAQStnk-4SwqDmLtmXYiTMKHgktTP8We1SCoS47DrQ/edit?usp=sharing"",""จัดที่ดิน!AY59"")"),0)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50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7800</v>
      </c>
      <c r="M655" s="194">
        <f ca="1">M656+M657</f>
        <v>6000</v>
      </c>
      <c r="N655" s="194">
        <f>N656+N657</f>
        <v>6000</v>
      </c>
      <c r="O655" s="194">
        <f t="shared" ref="O655:O660" ca="1" si="94">IF(L655&gt;0,N655*100/L655,0)</f>
        <v>76.92307692307692</v>
      </c>
      <c r="P655" s="194">
        <f t="shared" ref="P655:P660" ca="1" si="95">IF(M655&gt;0,N655*100/M655,0)</f>
        <v>100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7800</v>
      </c>
      <c r="M657" s="92">
        <f t="shared" ca="1" si="96"/>
        <v>6000</v>
      </c>
      <c r="N657" s="92">
        <f t="shared" si="96"/>
        <v>6000</v>
      </c>
      <c r="O657" s="92">
        <f t="shared" ca="1" si="94"/>
        <v>76.92307692307692</v>
      </c>
      <c r="P657" s="92">
        <f t="shared" ca="1" si="95"/>
        <v>100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7800</v>
      </c>
      <c r="M658" s="497">
        <f ca="1">M659+M660</f>
        <v>6000</v>
      </c>
      <c r="N658" s="497">
        <f>N659+N660</f>
        <v>6000</v>
      </c>
      <c r="O658" s="497">
        <f t="shared" ca="1" si="94"/>
        <v>76.92307692307692</v>
      </c>
      <c r="P658" s="497">
        <f t="shared" ca="1" si="95"/>
        <v>100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IFERROR(__xludf.DUMMYFUNCTION("IMPORTRANGE(""https://docs.google.com/spreadsheets/d/1QqKyyYR6Q21VydFLVH3TRQUabQu_ym0Zz7PgGX0-kHA/edit?usp=sharing"",""แผน!HV59"")"),7800)</f>
        <v>7800</v>
      </c>
      <c r="M660" s="92">
        <f ca="1">L660-1800</f>
        <v>6000</v>
      </c>
      <c r="N660" s="92">
        <f>N661+N662+N663+N664</f>
        <v>6000</v>
      </c>
      <c r="O660" s="92">
        <f t="shared" ca="1" si="94"/>
        <v>76.92307692307692</v>
      </c>
      <c r="P660" s="92">
        <f t="shared" ca="1" si="95"/>
        <v>100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1560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1500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2940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IFERROR(__xludf.DUMMYFUNCTION("IMPORTRANGE(""https://docs.google.com/spreadsheets/d/1QqKyyYR6Q21VydFLVH3TRQUabQu_ym0Zz7PgGX0-kHA/edit?usp=sharing"",""แผน!HZ59"")"),3)</f>
        <v>3</v>
      </c>
      <c r="J670" s="214">
        <v>3</v>
      </c>
      <c r="K670" s="497">
        <f ca="1">IF(I670&gt;0,(J670*100)/I670,0)</f>
        <v>100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IFERROR(__xludf.DUMMYFUNCTION("IMPORTRANGE(""https://docs.google.com/spreadsheets/d/1QqKyyYR6Q21VydFLVH3TRQUabQu_ym0Zz7PgGX0-kHA/edit?usp=sharing"",""แผน!HZ59"")"),3)</f>
        <v>3</v>
      </c>
      <c r="J671" s="214">
        <v>3</v>
      </c>
      <c r="K671" s="497">
        <f ca="1">IF(I$671&gt;0,J671*100/I$671,0)</f>
        <v>100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142</v>
      </c>
      <c r="K672" s="497">
        <f ca="1">IF(I$669&gt;0,J672*100/I$669,0)</f>
        <v>284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142</v>
      </c>
      <c r="K673" s="497">
        <f ca="1">IF(I$669&gt;0,J673*100/I$669,0)</f>
        <v>284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54320</v>
      </c>
      <c r="M685" s="194">
        <f ca="1">M686+M687</f>
        <v>41610</v>
      </c>
      <c r="N685" s="194">
        <f>N686+N687</f>
        <v>41610</v>
      </c>
      <c r="O685" s="194">
        <f ca="1">IF(L685&gt;0,N685*100/L685,0)</f>
        <v>76.601620029455077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54320</v>
      </c>
      <c r="M687" s="92">
        <f t="shared" ca="1" si="97"/>
        <v>41610</v>
      </c>
      <c r="N687" s="92">
        <f t="shared" si="97"/>
        <v>41610</v>
      </c>
      <c r="O687" s="92">
        <f ca="1">IF(L687&gt;0,N687*100/L687,0)</f>
        <v>76.601620029455077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54320</v>
      </c>
      <c r="M688" s="497">
        <f ca="1">M689+M690</f>
        <v>41610</v>
      </c>
      <c r="N688" s="497">
        <f>N689+N690</f>
        <v>41610</v>
      </c>
      <c r="O688" s="497">
        <f ca="1">IF(L688&gt;0,N688*100/L688,0)</f>
        <v>76.601620029455077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IFERROR(__xludf.DUMMYFUNCTION("IMPORTRANGE(""https://docs.google.com/spreadsheets/d/1QqKyyYR6Q21VydFLVH3TRQUabQu_ym0Zz7PgGX0-kHA/edit?usp=sharing"",""แผน!HW59"")"),54320)</f>
        <v>54320</v>
      </c>
      <c r="M690" s="92">
        <f ca="1">L690-12710</f>
        <v>41610</v>
      </c>
      <c r="N690" s="92">
        <f>N691+N692+N693+N694</f>
        <v>41610</v>
      </c>
      <c r="O690" s="92">
        <f ca="1">IF(L690&gt;0,N690*100/L690,0)</f>
        <v>76.601620029455077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39170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2440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69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69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120</v>
      </c>
      <c r="K701" s="194">
        <f ca="1">IF(I701&gt;0,J701*100/I701,0)</f>
        <v>22.181146025878004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7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7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4">
        <v>120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132</v>
      </c>
      <c r="K708" s="194">
        <f ca="1">IF(I708&gt;0,J708*100/I708,0)</f>
        <v>100.76335877862596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4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19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>
        <v>132</v>
      </c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879"/>
      <c r="J718" s="325">
        <f ca="1">IFERROR(__xludf.DUMMYFUNCTION("IMPORTRANGE(""https://docs.google.com/spreadsheets/d/1XWAQStnk-4SwqDmLtmXYiTMKHgktTP8We1SCoS47DrQ/edit?usp=sharing"",""จัดที่ดิน!BF59"")"),7)</f>
        <v>7</v>
      </c>
      <c r="K718" s="282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879"/>
      <c r="J719" s="325">
        <f ca="1">IFERROR(__xludf.DUMMYFUNCTION("IMPORTRANGE(""https://docs.google.com/spreadsheets/d/1XWAQStnk-4SwqDmLtmXYiTMKHgktTP8We1SCoS47DrQ/edit?usp=sharing"",""จัดที่ดิน!BG59"")"),7)</f>
        <v>7</v>
      </c>
      <c r="K719" s="282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9.5">
      <c r="A720" s="739"/>
      <c r="B720" s="758"/>
      <c r="C720" s="758"/>
      <c r="D720" s="758"/>
      <c r="E720" s="758"/>
      <c r="F720" s="758"/>
      <c r="G720" s="188"/>
      <c r="H720" s="762" t="s">
        <v>46</v>
      </c>
      <c r="I720" s="878">
        <f ca="1">IFERROR(__xludf.DUMMYFUNCTION("IMPORTRANGE(""https://docs.google.com/spreadsheets/d/1QqKyyYR6Q21VydFLVH3TRQUabQu_ym0Zz7PgGX0-kHA/edit?usp=sharing"",""แผน!II59"")"),312)</f>
        <v>312</v>
      </c>
      <c r="J720" s="877">
        <f ca="1">IFERROR(__xludf.DUMMYFUNCTION("IMPORTRANGE(""https://docs.google.com/spreadsheets/d/1XWAQStnk-4SwqDmLtmXYiTMKHgktTP8We1SCoS47DrQ/edit?usp=sharing"",""จัดที่ดิน!BH59"")"),141.34)</f>
        <v>141.34</v>
      </c>
      <c r="K720" s="876">
        <f ca="1">IF(I720&gt;0,J720*100/I720,0)</f>
        <v>45.301282051282051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16</v>
      </c>
      <c r="K721" s="194">
        <f ca="1">IF(I721&gt;0,J721*100/I721,0)</f>
        <v>44.444444444444443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219.10400000000001</v>
      </c>
      <c r="K722" s="194">
        <f ca="1">IF(I722&gt;0,J722*100/I722,0)</f>
        <v>62.422792022792024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69">
        <f ca="1">IFERROR(__xludf.DUMMYFUNCTION("IMPORTRANGE(""https://docs.google.com/spreadsheets/d/1XWAQStnk-4SwqDmLtmXYiTMKHgktTP8We1SCoS47DrQ/edit?usp=sharing"",""จัดที่ดิน!BM59"")"),12)</f>
        <v>12</v>
      </c>
      <c r="K723" s="497">
        <f ca="1">IF(I723&gt;0,J723*100/I723,0)</f>
        <v>70.588235294117652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IFERROR(__xludf.DUMMYFUNCTION("IMPORTRANGE(""https://docs.google.com/spreadsheets/d/1XWAQStnk-4SwqDmLtmXYiTMKHgktTP8We1SCoS47DrQ/edit?usp=sharing"",""จัดที่ดิน!BN59"")"),13)</f>
        <v>13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69">
        <f ca="1">IFERROR(__xludf.DUMMYFUNCTION("IMPORTRANGE(""https://docs.google.com/spreadsheets/d/1XWAQStnk-4SwqDmLtmXYiTMKHgktTP8We1SCoS47DrQ/edit?usp=sharing"",""จัดที่ดิน!BO59"")"),191.7315)</f>
        <v>191.73150000000001</v>
      </c>
      <c r="K725" s="497">
        <f ca="1">IF(I725&gt;0,J725*100/I725,0)</f>
        <v>87.150681818181823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69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ca="1">IF(I726&gt;0,J726*100/I726,0)</f>
        <v>21.05263157894737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69">
        <f ca="1">IFERROR(__xludf.DUMMYFUNCTION("IMPORTRANGE(""https://docs.google.com/spreadsheets/d/1XWAQStnk-4SwqDmLtmXYiTMKHgktTP8We1SCoS47DrQ/edit?usp=sharing"",""จัดที่ดิน!BT59"")"),27.3725)</f>
        <v>27.372499999999999</v>
      </c>
      <c r="K728" s="497">
        <f ca="1">IF(I728&gt;0,J728*100/I728,0)</f>
        <v>20.895038167938932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186.04750000000001</v>
      </c>
      <c r="K729" s="194">
        <f ca="1">IF(I729&gt;0,J729*100/I729,0)</f>
        <v>142.0209923664122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>
        <v>6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6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127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IFERROR(__xludf.DUMMYFUNCTION("IMPORTRANGE(""https://docs.google.com/spreadsheets/d/1QqKyyYR6Q21VydFLVH3TRQUabQu_ym0Zz7PgGX0-kHA/edit?usp=sharing"",""แผน!JJ59"")"),0)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IFERROR(__xludf.DUMMYFUNCTION("IMPORTRANGE(""https://docs.google.com/spreadsheets/d/1QqKyyYR6Q21VydFLVH3TRQUabQu_ym0Zz7PgGX0-kHA/edit?usp=sharing"",""แผน!JN59"")"),0)</f>
        <v>0</v>
      </c>
      <c r="J800" s="183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IFERROR(__xludf.DUMMYFUNCTION("IMPORTRANGE(""https://docs.google.com/spreadsheets/d/19vJNZY_5yjcGF2XGBMNZRCAIB0Kwfpjp8YEOfu-bneM/edit?usp=sharing"",""งานกองทุน!D59"")"),2707346.56)</f>
        <v>2707346.56</v>
      </c>
      <c r="J821" s="269">
        <f ca="1">IFERROR(__xludf.DUMMYFUNCTION("IMPORTRANGE(""https://docs.google.com/spreadsheets/d/19vJNZY_5yjcGF2XGBMNZRCAIB0Kwfpjp8YEOfu-bneM/edit?usp=sharing"",""งานกองทุน!F59"")"),2385695.54)</f>
        <v>2385695.54</v>
      </c>
      <c r="K821" s="497">
        <f t="shared" ref="K821:K828" ca="1" si="113">IF(I821&gt;0,J821*100/I821,0)</f>
        <v>88.119325957294507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IFERROR(__xludf.DUMMYFUNCTION("IMPORTRANGE(""https://docs.google.com/spreadsheets/d/19vJNZY_5yjcGF2XGBMNZRCAIB0Kwfpjp8YEOfu-bneM/edit?usp=sharing"",""งานกองทุน!C59"")"),100)</f>
        <v>100</v>
      </c>
      <c r="J822" s="269">
        <f ca="1">IFERROR(__xludf.DUMMYFUNCTION("IMPORTRANGE(""https://docs.google.com/spreadsheets/d/19vJNZY_5yjcGF2XGBMNZRCAIB0Kwfpjp8YEOfu-bneM/edit?usp=sharing"",""งานกองทุน!E59"")"),98)</f>
        <v>98</v>
      </c>
      <c r="K822" s="497">
        <f t="shared" ca="1" si="113"/>
        <v>98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69">
        <f ca="1">IFERROR(__xludf.DUMMYFUNCTION("IMPORTRANGE(""https://docs.google.com/spreadsheets/d/19vJNZY_5yjcGF2XGBMNZRCAIB0Kwfpjp8YEOfu-bneM/edit?usp=sharing"",""งานกองทุน!K59"")"),260759.51)</f>
        <v>260759.51</v>
      </c>
      <c r="K823" s="497">
        <f t="shared" ca="1" si="113"/>
        <v>6.2615210486890849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IFERROR(__xludf.DUMMYFUNCTION("IMPORTRANGE(""https://docs.google.com/spreadsheets/d/19vJNZY_5yjcGF2XGBMNZRCAIB0Kwfpjp8YEOfu-bneM/edit?usp=sharing"",""งานกองทุน!H59"")"),123)</f>
        <v>123</v>
      </c>
      <c r="J824" s="269">
        <f ca="1">IFERROR(__xludf.DUMMYFUNCTION("IMPORTRANGE(""https://docs.google.com/spreadsheets/d/19vJNZY_5yjcGF2XGBMNZRCAIB0Kwfpjp8YEOfu-bneM/edit?usp=sharing"",""งานกองทุน!J59"")"),35)</f>
        <v>35</v>
      </c>
      <c r="K824" s="497">
        <f t="shared" ca="1" si="113"/>
        <v>28.45528455284553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69">
        <f ca="1">IFERROR(__xludf.DUMMYFUNCTION("IMPORTRANGE(""https://docs.google.com/spreadsheets/d/19vJNZY_5yjcGF2XGBMNZRCAIB0Kwfpjp8YEOfu-bneM/edit?usp=sharing"",""งานกองทุน!P59"")"),2983625.61)</f>
        <v>2983625.61</v>
      </c>
      <c r="K825" s="497">
        <f t="shared" ca="1" si="113"/>
        <v>57.515761223789951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IFERROR(__xludf.DUMMYFUNCTION("IMPORTRANGE(""https://docs.google.com/spreadsheets/d/19vJNZY_5yjcGF2XGBMNZRCAIB0Kwfpjp8YEOfu-bneM/edit?usp=sharing"",""งานกองทุน!M59"")"),1897)</f>
        <v>1897</v>
      </c>
      <c r="J826" s="269">
        <f ca="1">IFERROR(__xludf.DUMMYFUNCTION("IMPORTRANGE(""https://docs.google.com/spreadsheets/d/19vJNZY_5yjcGF2XGBMNZRCAIB0Kwfpjp8YEOfu-bneM/edit?usp=sharing"",""งานกองทุน!O59"")"),1421)</f>
        <v>1421</v>
      </c>
      <c r="K826" s="497">
        <f t="shared" ca="1" si="113"/>
        <v>74.907749077490777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IFERROR(__xludf.DUMMYFUNCTION("IMPORTRANGE(""https://docs.google.com/spreadsheets/d/19vJNZY_5yjcGF2XGBMNZRCAIB0Kwfpjp8YEOfu-bneM/edit?usp=sharing"",""งานกองทุน!S59"")"),2810000)</f>
        <v>2810000</v>
      </c>
      <c r="J827" s="269">
        <f ca="1">IFERROR(__xludf.DUMMYFUNCTION("IMPORTRANGE(""https://docs.google.com/spreadsheets/d/19vJNZY_5yjcGF2XGBMNZRCAIB0Kwfpjp8YEOfu-bneM/edit?usp=sharing"",""งานกองทุน!U59"")"),2810000)</f>
        <v>2810000</v>
      </c>
      <c r="K827" s="497">
        <f t="shared" ca="1" si="113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IFERROR(__xludf.DUMMYFUNCTION("IMPORTRANGE(""https://docs.google.com/spreadsheets/d/19vJNZY_5yjcGF2XGBMNZRCAIB0Kwfpjp8YEOfu-bneM/edit?usp=sharing"",""งานกองทุน!T59"")"),87)</f>
        <v>87</v>
      </c>
      <c r="K828" s="502">
        <f t="shared" ca="1" si="113"/>
        <v>78.378378378378372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1EEC8-7710-4EBB-862A-8B0A547798F2}">
  <sheetPr>
    <outlinePr summaryBelow="0" summaryRight="0"/>
    <pageSetUpPr fitToPage="1"/>
  </sheetPr>
  <dimension ref="A1:Z828"/>
  <sheetViews>
    <sheetView view="pageBreakPreview" zoomScale="60" zoomScaleNormal="30" workbookViewId="0">
      <pane ySplit="6" topLeftCell="A7" activePane="bottomLeft" state="frozen"/>
      <selection activeCell="S44" sqref="S44"/>
      <selection pane="bottomLeft" activeCell="S44" sqref="S4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7.5703125" bestFit="1" customWidth="1"/>
    <col min="11" max="11" width="15.85546875" bestFit="1" customWidth="1"/>
    <col min="12" max="14" width="22.140625" bestFit="1" customWidth="1"/>
    <col min="15" max="15" width="20.140625" bestFit="1" customWidth="1"/>
    <col min="16" max="16" width="22" bestFit="1" customWidth="1"/>
  </cols>
  <sheetData>
    <row r="1" spans="1:26" ht="19.5">
      <c r="A1" s="900" t="s">
        <v>0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</row>
    <row r="2" spans="1:26" ht="19.5">
      <c r="A2" s="900" t="s">
        <v>348</v>
      </c>
      <c r="B2" s="901"/>
      <c r="C2" s="901"/>
      <c r="D2" s="901"/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</row>
    <row r="3" spans="1:26" ht="19.5">
      <c r="A3" s="900" t="s">
        <v>366</v>
      </c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6" t="s">
        <v>2</v>
      </c>
      <c r="B5" s="901"/>
      <c r="C5" s="901"/>
      <c r="D5" s="901"/>
      <c r="E5" s="901"/>
      <c r="F5" s="901"/>
      <c r="G5" s="907"/>
      <c r="H5" s="902" t="s">
        <v>3</v>
      </c>
      <c r="I5" s="903" t="s">
        <v>4</v>
      </c>
      <c r="J5" s="896"/>
      <c r="K5" s="897"/>
      <c r="L5" s="904" t="s">
        <v>5</v>
      </c>
      <c r="M5" s="897"/>
      <c r="N5" s="905" t="s">
        <v>6</v>
      </c>
      <c r="O5" s="896"/>
      <c r="P5" s="897"/>
    </row>
    <row r="6" spans="1:26" ht="19.5">
      <c r="A6" s="908"/>
      <c r="B6" s="896"/>
      <c r="C6" s="896"/>
      <c r="D6" s="896"/>
      <c r="E6" s="896"/>
      <c r="F6" s="896"/>
      <c r="G6" s="897"/>
      <c r="H6" s="89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913" t="s">
        <v>14</v>
      </c>
    </row>
    <row r="7" spans="1:26" ht="19.5">
      <c r="A7" s="895" t="s">
        <v>15</v>
      </c>
      <c r="B7" s="896"/>
      <c r="C7" s="896"/>
      <c r="D7" s="896"/>
      <c r="E7" s="896"/>
      <c r="F7" s="896"/>
      <c r="G7" s="897"/>
      <c r="H7" s="10"/>
      <c r="I7" s="11"/>
      <c r="J7" s="11"/>
      <c r="K7" s="12"/>
      <c r="L7" s="12"/>
      <c r="M7" s="12"/>
      <c r="N7" s="12"/>
      <c r="O7" s="12"/>
      <c r="P7" s="12"/>
    </row>
    <row r="8" spans="1:26" ht="19.5">
      <c r="A8" s="13"/>
      <c r="B8" s="14"/>
      <c r="C8" s="15" t="s">
        <v>16</v>
      </c>
      <c r="D8" s="16" t="s">
        <v>17</v>
      </c>
      <c r="E8" s="14"/>
      <c r="F8" s="14"/>
      <c r="G8" s="17"/>
      <c r="H8" s="18" t="s">
        <v>12</v>
      </c>
      <c r="I8" s="19"/>
      <c r="J8" s="19"/>
      <c r="K8" s="20"/>
      <c r="L8" s="21">
        <f ca="1">L9+L10</f>
        <v>2208495</v>
      </c>
      <c r="M8" s="21">
        <f ca="1">M9+M10</f>
        <v>2402297.44</v>
      </c>
      <c r="N8" s="21">
        <f ca="1">N9+N10</f>
        <v>2402297.44</v>
      </c>
      <c r="O8" s="21">
        <f t="shared" ref="O8:O16" ca="1" si="0">IF(L8&gt;0,N8*100/L8,0)</f>
        <v>108.77531712772725</v>
      </c>
      <c r="P8" s="21">
        <f t="shared" ref="P8:P16" ca="1" si="1">IF(M8&gt;0,N8*100/M8,0)</f>
        <v>100</v>
      </c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 hidden="1">
      <c r="A9" s="23"/>
      <c r="B9" s="24"/>
      <c r="C9" s="24"/>
      <c r="D9" s="24"/>
      <c r="E9" s="25" t="s">
        <v>18</v>
      </c>
      <c r="F9" s="24"/>
      <c r="G9" s="26"/>
      <c r="H9" s="27" t="s">
        <v>12</v>
      </c>
      <c r="I9" s="28"/>
      <c r="J9" s="28"/>
      <c r="K9" s="29"/>
      <c r="L9" s="29">
        <f t="shared" ref="L9:N10" si="2">L12+L15</f>
        <v>0</v>
      </c>
      <c r="M9" s="29">
        <f t="shared" si="2"/>
        <v>0</v>
      </c>
      <c r="N9" s="29">
        <f t="shared" si="2"/>
        <v>0</v>
      </c>
      <c r="O9" s="29">
        <f t="shared" si="0"/>
        <v>0</v>
      </c>
      <c r="P9" s="29">
        <f t="shared" si="1"/>
        <v>0</v>
      </c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18.75" hidden="1">
      <c r="A10" s="23"/>
      <c r="B10" s="24"/>
      <c r="C10" s="24"/>
      <c r="D10" s="24"/>
      <c r="E10" s="25" t="s">
        <v>19</v>
      </c>
      <c r="F10" s="24"/>
      <c r="G10" s="26"/>
      <c r="H10" s="27" t="s">
        <v>12</v>
      </c>
      <c r="I10" s="28"/>
      <c r="J10" s="28"/>
      <c r="K10" s="29"/>
      <c r="L10" s="29">
        <f t="shared" ca="1" si="2"/>
        <v>2208495</v>
      </c>
      <c r="M10" s="29">
        <f t="shared" ca="1" si="2"/>
        <v>2402297.44</v>
      </c>
      <c r="N10" s="29">
        <f t="shared" ca="1" si="2"/>
        <v>2402297.44</v>
      </c>
      <c r="O10" s="29">
        <f t="shared" ca="1" si="0"/>
        <v>108.77531712772725</v>
      </c>
      <c r="P10" s="29">
        <f t="shared" ca="1" si="1"/>
        <v>100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8.75">
      <c r="A11" s="31"/>
      <c r="B11" s="32"/>
      <c r="C11" s="32"/>
      <c r="D11" s="33" t="s">
        <v>20</v>
      </c>
      <c r="E11" s="32"/>
      <c r="F11" s="32"/>
      <c r="G11" s="34"/>
      <c r="H11" s="618" t="s">
        <v>12</v>
      </c>
      <c r="I11" s="269"/>
      <c r="J11" s="269"/>
      <c r="K11" s="497"/>
      <c r="L11" s="497">
        <f ca="1">L12+L13</f>
        <v>2170695</v>
      </c>
      <c r="M11" s="497">
        <f ca="1">M12+M13</f>
        <v>2364497.44</v>
      </c>
      <c r="N11" s="497">
        <f ca="1">N12+N13</f>
        <v>2364497.44</v>
      </c>
      <c r="O11" s="497">
        <f t="shared" ca="1" si="0"/>
        <v>108.92812854869062</v>
      </c>
      <c r="P11" s="497">
        <f t="shared" ca="1" si="1"/>
        <v>100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8.75" hidden="1">
      <c r="A12" s="38"/>
      <c r="B12" s="39"/>
      <c r="C12" s="39"/>
      <c r="D12" s="39"/>
      <c r="E12" s="222" t="s">
        <v>18</v>
      </c>
      <c r="F12" s="39"/>
      <c r="G12" s="41"/>
      <c r="H12" s="42" t="s">
        <v>12</v>
      </c>
      <c r="I12" s="612"/>
      <c r="J12" s="612"/>
      <c r="K12" s="92"/>
      <c r="L12" s="92">
        <f t="shared" ref="L12:N13" si="3">L22+L32</f>
        <v>0</v>
      </c>
      <c r="M12" s="92">
        <f t="shared" si="3"/>
        <v>0</v>
      </c>
      <c r="N12" s="92">
        <f t="shared" si="3"/>
        <v>0</v>
      </c>
      <c r="O12" s="92">
        <f t="shared" si="0"/>
        <v>0</v>
      </c>
      <c r="P12" s="92">
        <f t="shared" si="1"/>
        <v>0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ht="18.75" hidden="1">
      <c r="A13" s="38"/>
      <c r="B13" s="39"/>
      <c r="C13" s="39"/>
      <c r="D13" s="39"/>
      <c r="E13" s="222" t="s">
        <v>19</v>
      </c>
      <c r="F13" s="39"/>
      <c r="G13" s="41"/>
      <c r="H13" s="42" t="s">
        <v>12</v>
      </c>
      <c r="I13" s="612"/>
      <c r="J13" s="612"/>
      <c r="K13" s="92"/>
      <c r="L13" s="92">
        <f t="shared" ca="1" si="3"/>
        <v>2170695</v>
      </c>
      <c r="M13" s="92">
        <f t="shared" ca="1" si="3"/>
        <v>2364497.44</v>
      </c>
      <c r="N13" s="92">
        <f t="shared" ca="1" si="3"/>
        <v>2364497.44</v>
      </c>
      <c r="O13" s="92">
        <f t="shared" ca="1" si="0"/>
        <v>108.92812854869062</v>
      </c>
      <c r="P13" s="92">
        <f t="shared" ca="1" si="1"/>
        <v>100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18.75">
      <c r="A14" s="31"/>
      <c r="B14" s="32"/>
      <c r="C14" s="32"/>
      <c r="D14" s="33" t="s">
        <v>21</v>
      </c>
      <c r="E14" s="32"/>
      <c r="F14" s="32"/>
      <c r="G14" s="34"/>
      <c r="H14" s="618" t="s">
        <v>12</v>
      </c>
      <c r="I14" s="269"/>
      <c r="J14" s="269"/>
      <c r="K14" s="497"/>
      <c r="L14" s="497">
        <f ca="1">L15+L16</f>
        <v>37800</v>
      </c>
      <c r="M14" s="497">
        <f ca="1">M15+M16</f>
        <v>37800</v>
      </c>
      <c r="N14" s="497">
        <f ca="1">N15+N16</f>
        <v>37800</v>
      </c>
      <c r="O14" s="497">
        <f t="shared" ca="1" si="0"/>
        <v>100</v>
      </c>
      <c r="P14" s="497">
        <f t="shared" ca="1" si="1"/>
        <v>100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8.75" hidden="1">
      <c r="A15" s="38"/>
      <c r="B15" s="39"/>
      <c r="C15" s="39"/>
      <c r="D15" s="39"/>
      <c r="E15" s="222" t="s">
        <v>18</v>
      </c>
      <c r="F15" s="39"/>
      <c r="G15" s="41"/>
      <c r="H15" s="42" t="s">
        <v>12</v>
      </c>
      <c r="I15" s="612"/>
      <c r="J15" s="612"/>
      <c r="K15" s="92"/>
      <c r="L15" s="92">
        <f t="shared" ref="L15:N16" si="4">L25+L35</f>
        <v>0</v>
      </c>
      <c r="M15" s="92">
        <f t="shared" si="4"/>
        <v>0</v>
      </c>
      <c r="N15" s="92">
        <f t="shared" si="4"/>
        <v>0</v>
      </c>
      <c r="O15" s="92">
        <f t="shared" si="0"/>
        <v>0</v>
      </c>
      <c r="P15" s="92">
        <f t="shared" si="1"/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18.75" hidden="1">
      <c r="A16" s="45"/>
      <c r="B16" s="46"/>
      <c r="C16" s="46"/>
      <c r="D16" s="46"/>
      <c r="E16" s="47" t="s">
        <v>19</v>
      </c>
      <c r="F16" s="46"/>
      <c r="G16" s="48"/>
      <c r="H16" s="49" t="s">
        <v>12</v>
      </c>
      <c r="I16" s="50"/>
      <c r="J16" s="50"/>
      <c r="K16" s="51"/>
      <c r="L16" s="51">
        <f t="shared" ca="1" si="4"/>
        <v>37800</v>
      </c>
      <c r="M16" s="51">
        <f t="shared" ca="1" si="4"/>
        <v>37800</v>
      </c>
      <c r="N16" s="51">
        <f t="shared" ca="1" si="4"/>
        <v>37800</v>
      </c>
      <c r="O16" s="51">
        <f t="shared" ca="1" si="0"/>
        <v>100</v>
      </c>
      <c r="P16" s="51">
        <f t="shared" ca="1" si="1"/>
        <v>100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19.5">
      <c r="A17" s="895" t="s">
        <v>22</v>
      </c>
      <c r="B17" s="896"/>
      <c r="C17" s="896"/>
      <c r="D17" s="896"/>
      <c r="E17" s="896"/>
      <c r="F17" s="896"/>
      <c r="G17" s="897"/>
      <c r="H17" s="10"/>
      <c r="I17" s="11"/>
      <c r="J17" s="11"/>
      <c r="K17" s="12"/>
      <c r="L17" s="12"/>
      <c r="M17" s="12"/>
      <c r="N17" s="12"/>
      <c r="O17" s="12"/>
      <c r="P17" s="12"/>
    </row>
    <row r="18" spans="1:26" ht="19.5">
      <c r="A18" s="13"/>
      <c r="B18" s="14"/>
      <c r="C18" s="15" t="s">
        <v>16</v>
      </c>
      <c r="D18" s="16" t="s">
        <v>17</v>
      </c>
      <c r="E18" s="14"/>
      <c r="F18" s="14"/>
      <c r="G18" s="17"/>
      <c r="H18" s="18" t="s">
        <v>12</v>
      </c>
      <c r="I18" s="19"/>
      <c r="J18" s="19"/>
      <c r="K18" s="20"/>
      <c r="L18" s="21">
        <f ca="1">L19+L20</f>
        <v>2029255</v>
      </c>
      <c r="M18" s="21">
        <f ca="1">M19+M20</f>
        <v>2208467.44</v>
      </c>
      <c r="N18" s="21">
        <f ca="1">N19+N20</f>
        <v>2208467.44</v>
      </c>
      <c r="O18" s="21">
        <f t="shared" ref="O18:O26" ca="1" si="5">IF(L18&gt;0,N18*100/L18,0)</f>
        <v>108.83144010979399</v>
      </c>
      <c r="P18" s="21">
        <f t="shared" ref="P18:P26" ca="1" si="6">IF(M18&gt;0,N18*100/M18,0)</f>
        <v>100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8.75" hidden="1">
      <c r="A19" s="23"/>
      <c r="B19" s="24"/>
      <c r="C19" s="24"/>
      <c r="D19" s="24"/>
      <c r="E19" s="25" t="s">
        <v>18</v>
      </c>
      <c r="F19" s="24"/>
      <c r="G19" s="26"/>
      <c r="H19" s="27" t="s">
        <v>12</v>
      </c>
      <c r="I19" s="28"/>
      <c r="J19" s="28"/>
      <c r="K19" s="29"/>
      <c r="L19" s="29">
        <f t="shared" ref="L19:N20" si="7">L22+L25</f>
        <v>0</v>
      </c>
      <c r="M19" s="29">
        <f t="shared" si="7"/>
        <v>0</v>
      </c>
      <c r="N19" s="29">
        <f t="shared" si="7"/>
        <v>0</v>
      </c>
      <c r="O19" s="29">
        <f t="shared" si="5"/>
        <v>0</v>
      </c>
      <c r="P19" s="29">
        <f t="shared" si="6"/>
        <v>0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18.75" hidden="1">
      <c r="A20" s="23"/>
      <c r="B20" s="24"/>
      <c r="C20" s="24"/>
      <c r="D20" s="24"/>
      <c r="E20" s="25" t="s">
        <v>19</v>
      </c>
      <c r="F20" s="24"/>
      <c r="G20" s="26"/>
      <c r="H20" s="27" t="s">
        <v>12</v>
      </c>
      <c r="I20" s="28"/>
      <c r="J20" s="28"/>
      <c r="K20" s="29"/>
      <c r="L20" s="29">
        <f t="shared" ca="1" si="7"/>
        <v>2029255</v>
      </c>
      <c r="M20" s="29">
        <f t="shared" ca="1" si="7"/>
        <v>2208467.44</v>
      </c>
      <c r="N20" s="29">
        <f t="shared" ca="1" si="7"/>
        <v>2208467.44</v>
      </c>
      <c r="O20" s="29">
        <f t="shared" ca="1" si="5"/>
        <v>108.83144010979399</v>
      </c>
      <c r="P20" s="29">
        <f t="shared" ca="1" si="6"/>
        <v>100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18.75">
      <c r="A21" s="31"/>
      <c r="B21" s="32"/>
      <c r="C21" s="32"/>
      <c r="D21" s="33" t="s">
        <v>20</v>
      </c>
      <c r="E21" s="32"/>
      <c r="F21" s="32"/>
      <c r="G21" s="34"/>
      <c r="H21" s="618" t="s">
        <v>12</v>
      </c>
      <c r="I21" s="269"/>
      <c r="J21" s="269"/>
      <c r="K21" s="497"/>
      <c r="L21" s="497">
        <f ca="1">L22+L23</f>
        <v>1991455</v>
      </c>
      <c r="M21" s="497">
        <f ca="1">M22+M23</f>
        <v>2170667.44</v>
      </c>
      <c r="N21" s="497">
        <f ca="1">N22+N23</f>
        <v>2170667.44</v>
      </c>
      <c r="O21" s="497">
        <f t="shared" ca="1" si="5"/>
        <v>108.99907052883445</v>
      </c>
      <c r="P21" s="497">
        <f t="shared" ca="1" si="6"/>
        <v>100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hidden="1">
      <c r="A22" s="38"/>
      <c r="B22" s="39"/>
      <c r="C22" s="39"/>
      <c r="D22" s="39"/>
      <c r="E22" s="222" t="s">
        <v>18</v>
      </c>
      <c r="F22" s="39"/>
      <c r="G22" s="41"/>
      <c r="H22" s="42" t="s">
        <v>12</v>
      </c>
      <c r="I22" s="612"/>
      <c r="J22" s="612"/>
      <c r="K22" s="92"/>
      <c r="L22" s="92">
        <f t="shared" ref="L22:N23" si="8">L45+L57+L70+L92+L123+L136+L153+L185+L169+L265+L281+L302+L319+L332+L349+L393+L406</f>
        <v>0</v>
      </c>
      <c r="M22" s="92">
        <f t="shared" si="8"/>
        <v>0</v>
      </c>
      <c r="N22" s="92">
        <f t="shared" si="8"/>
        <v>0</v>
      </c>
      <c r="O22" s="92">
        <f t="shared" si="5"/>
        <v>0</v>
      </c>
      <c r="P22" s="92">
        <f t="shared" si="6"/>
        <v>0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18.75" hidden="1">
      <c r="A23" s="38"/>
      <c r="B23" s="39"/>
      <c r="C23" s="39"/>
      <c r="D23" s="39"/>
      <c r="E23" s="222" t="s">
        <v>19</v>
      </c>
      <c r="F23" s="39"/>
      <c r="G23" s="41"/>
      <c r="H23" s="42" t="s">
        <v>12</v>
      </c>
      <c r="I23" s="612"/>
      <c r="J23" s="612"/>
      <c r="K23" s="92"/>
      <c r="L23" s="92">
        <f t="shared" ca="1" si="8"/>
        <v>1991455</v>
      </c>
      <c r="M23" s="92">
        <f t="shared" ca="1" si="8"/>
        <v>2170667.44</v>
      </c>
      <c r="N23" s="92">
        <f t="shared" ca="1" si="8"/>
        <v>2170667.44</v>
      </c>
      <c r="O23" s="92">
        <f t="shared" ca="1" si="5"/>
        <v>108.99907052883445</v>
      </c>
      <c r="P23" s="92">
        <f t="shared" ca="1" si="6"/>
        <v>100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18.75">
      <c r="A24" s="31"/>
      <c r="B24" s="32"/>
      <c r="C24" s="32"/>
      <c r="D24" s="33" t="s">
        <v>21</v>
      </c>
      <c r="E24" s="32"/>
      <c r="F24" s="32"/>
      <c r="G24" s="34"/>
      <c r="H24" s="618" t="s">
        <v>12</v>
      </c>
      <c r="I24" s="269"/>
      <c r="J24" s="269"/>
      <c r="K24" s="497"/>
      <c r="L24" s="497">
        <f ca="1">L25+L26</f>
        <v>37800</v>
      </c>
      <c r="M24" s="497">
        <f ca="1">M25+M26</f>
        <v>37800</v>
      </c>
      <c r="N24" s="497">
        <f ca="1">N25+N26</f>
        <v>37800</v>
      </c>
      <c r="O24" s="497">
        <f t="shared" ca="1" si="5"/>
        <v>100</v>
      </c>
      <c r="P24" s="497">
        <f t="shared" ca="1" si="6"/>
        <v>100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8.75" hidden="1">
      <c r="A25" s="38"/>
      <c r="B25" s="39"/>
      <c r="C25" s="39"/>
      <c r="D25" s="39"/>
      <c r="E25" s="222" t="s">
        <v>18</v>
      </c>
      <c r="F25" s="39"/>
      <c r="G25" s="41"/>
      <c r="H25" s="42" t="s">
        <v>12</v>
      </c>
      <c r="I25" s="612"/>
      <c r="J25" s="612"/>
      <c r="K25" s="92"/>
      <c r="L25" s="92">
        <f t="shared" ref="L25:N26" si="9">L48+L60+L73+L95+L126+L139+L156+L188+L172+L268+L284+L305+L322+L335+L352+L396+L409</f>
        <v>0</v>
      </c>
      <c r="M25" s="92">
        <f t="shared" si="9"/>
        <v>0</v>
      </c>
      <c r="N25" s="92">
        <f t="shared" si="9"/>
        <v>0</v>
      </c>
      <c r="O25" s="92">
        <f t="shared" si="5"/>
        <v>0</v>
      </c>
      <c r="P25" s="92">
        <f t="shared" si="6"/>
        <v>0</v>
      </c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18.75" hidden="1">
      <c r="A26" s="45"/>
      <c r="B26" s="46"/>
      <c r="C26" s="46"/>
      <c r="D26" s="46"/>
      <c r="E26" s="47" t="s">
        <v>19</v>
      </c>
      <c r="F26" s="46"/>
      <c r="G26" s="48"/>
      <c r="H26" s="49" t="s">
        <v>12</v>
      </c>
      <c r="I26" s="50"/>
      <c r="J26" s="50"/>
      <c r="K26" s="51"/>
      <c r="L26" s="51">
        <f t="shared" ca="1" si="9"/>
        <v>37800</v>
      </c>
      <c r="M26" s="51">
        <f t="shared" ca="1" si="9"/>
        <v>37800</v>
      </c>
      <c r="N26" s="51">
        <f t="shared" ca="1" si="9"/>
        <v>37800</v>
      </c>
      <c r="O26" s="51">
        <f t="shared" ca="1" si="5"/>
        <v>100</v>
      </c>
      <c r="P26" s="51">
        <f t="shared" ca="1" si="6"/>
        <v>100</v>
      </c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9.5">
      <c r="A27" s="895" t="s">
        <v>23</v>
      </c>
      <c r="B27" s="896"/>
      <c r="C27" s="896"/>
      <c r="D27" s="896"/>
      <c r="E27" s="896"/>
      <c r="F27" s="896"/>
      <c r="G27" s="897"/>
      <c r="H27" s="10"/>
      <c r="I27" s="11"/>
      <c r="J27" s="11"/>
      <c r="K27" s="12"/>
      <c r="L27" s="12"/>
      <c r="M27" s="12"/>
      <c r="N27" s="12"/>
      <c r="O27" s="12"/>
      <c r="P27" s="12"/>
    </row>
    <row r="28" spans="1:26" ht="19.5">
      <c r="A28" s="13"/>
      <c r="B28" s="14"/>
      <c r="C28" s="15" t="s">
        <v>16</v>
      </c>
      <c r="D28" s="16" t="s">
        <v>17</v>
      </c>
      <c r="E28" s="14"/>
      <c r="F28" s="14"/>
      <c r="G28" s="17"/>
      <c r="H28" s="18" t="s">
        <v>12</v>
      </c>
      <c r="I28" s="19"/>
      <c r="J28" s="19"/>
      <c r="K28" s="20"/>
      <c r="L28" s="21">
        <f ca="1">L29+L30</f>
        <v>179240</v>
      </c>
      <c r="M28" s="21">
        <f ca="1">M29+M30</f>
        <v>193830</v>
      </c>
      <c r="N28" s="21">
        <f>N29+N30</f>
        <v>193830</v>
      </c>
      <c r="O28" s="21">
        <f t="shared" ref="O28:O37" ca="1" si="10">IF(L28&gt;0,N28*100/L28,0)</f>
        <v>108.13992412407944</v>
      </c>
      <c r="P28" s="21">
        <f t="shared" ref="P28:P37" ca="1" si="11">IF(M28&gt;0,N28*100/M28,0)</f>
        <v>100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8.75" hidden="1">
      <c r="A29" s="23"/>
      <c r="B29" s="24"/>
      <c r="C29" s="24"/>
      <c r="D29" s="24"/>
      <c r="E29" s="25" t="s">
        <v>18</v>
      </c>
      <c r="F29" s="24"/>
      <c r="G29" s="26"/>
      <c r="H29" s="27" t="s">
        <v>12</v>
      </c>
      <c r="I29" s="28"/>
      <c r="J29" s="28"/>
      <c r="K29" s="29"/>
      <c r="L29" s="29">
        <f t="shared" ref="L29:N30" si="12">L32+L35</f>
        <v>0</v>
      </c>
      <c r="M29" s="29">
        <f t="shared" si="12"/>
        <v>0</v>
      </c>
      <c r="N29" s="29">
        <f t="shared" si="12"/>
        <v>0</v>
      </c>
      <c r="O29" s="29">
        <f t="shared" si="10"/>
        <v>0</v>
      </c>
      <c r="P29" s="29">
        <f t="shared" si="11"/>
        <v>0</v>
      </c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18.75" hidden="1">
      <c r="A30" s="23"/>
      <c r="B30" s="24"/>
      <c r="C30" s="24"/>
      <c r="D30" s="24"/>
      <c r="E30" s="25" t="s">
        <v>19</v>
      </c>
      <c r="F30" s="24"/>
      <c r="G30" s="26"/>
      <c r="H30" s="27" t="s">
        <v>12</v>
      </c>
      <c r="I30" s="28"/>
      <c r="J30" s="28"/>
      <c r="K30" s="29"/>
      <c r="L30" s="29">
        <f t="shared" ca="1" si="12"/>
        <v>179240</v>
      </c>
      <c r="M30" s="29">
        <f t="shared" ca="1" si="12"/>
        <v>193830</v>
      </c>
      <c r="N30" s="29">
        <f t="shared" si="12"/>
        <v>193830</v>
      </c>
      <c r="O30" s="29">
        <f t="shared" ca="1" si="10"/>
        <v>108.13992412407944</v>
      </c>
      <c r="P30" s="29">
        <f t="shared" ca="1" si="11"/>
        <v>100</v>
      </c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8.75">
      <c r="A31" s="31"/>
      <c r="B31" s="32"/>
      <c r="C31" s="32"/>
      <c r="D31" s="33" t="s">
        <v>20</v>
      </c>
      <c r="E31" s="32"/>
      <c r="F31" s="32"/>
      <c r="G31" s="34"/>
      <c r="H31" s="618" t="s">
        <v>12</v>
      </c>
      <c r="I31" s="269"/>
      <c r="J31" s="269"/>
      <c r="K31" s="497"/>
      <c r="L31" s="497">
        <f ca="1">L32+L33</f>
        <v>179240</v>
      </c>
      <c r="M31" s="497">
        <f ca="1">M32+M33</f>
        <v>193830</v>
      </c>
      <c r="N31" s="497">
        <f>N32+N33</f>
        <v>193830</v>
      </c>
      <c r="O31" s="497">
        <f t="shared" ca="1" si="10"/>
        <v>108.13992412407944</v>
      </c>
      <c r="P31" s="497">
        <f t="shared" ca="1" si="11"/>
        <v>100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8.75" hidden="1">
      <c r="A32" s="38"/>
      <c r="B32" s="39"/>
      <c r="C32" s="39"/>
      <c r="D32" s="39"/>
      <c r="E32" s="222" t="s">
        <v>18</v>
      </c>
      <c r="F32" s="39"/>
      <c r="G32" s="41"/>
      <c r="H32" s="42" t="s">
        <v>12</v>
      </c>
      <c r="I32" s="612"/>
      <c r="J32" s="612"/>
      <c r="K32" s="92"/>
      <c r="L32" s="92">
        <f t="shared" ref="L32:N33" si="13">L423+L448+L471+L506+L527+L548+L633+L659+L689+L741+L758+L774+L790+L809</f>
        <v>0</v>
      </c>
      <c r="M32" s="92">
        <f t="shared" si="13"/>
        <v>0</v>
      </c>
      <c r="N32" s="92">
        <f t="shared" si="13"/>
        <v>0</v>
      </c>
      <c r="O32" s="92">
        <f t="shared" si="10"/>
        <v>0</v>
      </c>
      <c r="P32" s="92">
        <f t="shared" si="11"/>
        <v>0</v>
      </c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8.75" hidden="1">
      <c r="A33" s="38"/>
      <c r="B33" s="39"/>
      <c r="C33" s="39"/>
      <c r="D33" s="39"/>
      <c r="E33" s="222" t="s">
        <v>19</v>
      </c>
      <c r="F33" s="39"/>
      <c r="G33" s="41"/>
      <c r="H33" s="42" t="s">
        <v>12</v>
      </c>
      <c r="I33" s="612"/>
      <c r="J33" s="612"/>
      <c r="K33" s="92"/>
      <c r="L33" s="92">
        <f t="shared" ca="1" si="13"/>
        <v>179240</v>
      </c>
      <c r="M33" s="92">
        <f t="shared" ca="1" si="13"/>
        <v>193830</v>
      </c>
      <c r="N33" s="92">
        <f t="shared" si="13"/>
        <v>193830</v>
      </c>
      <c r="O33" s="92">
        <f t="shared" ca="1" si="10"/>
        <v>108.13992412407944</v>
      </c>
      <c r="P33" s="92">
        <f t="shared" ca="1" si="11"/>
        <v>100</v>
      </c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8.75">
      <c r="A34" s="31"/>
      <c r="B34" s="32"/>
      <c r="C34" s="32"/>
      <c r="D34" s="33" t="s">
        <v>21</v>
      </c>
      <c r="E34" s="32"/>
      <c r="F34" s="32"/>
      <c r="G34" s="34"/>
      <c r="H34" s="618" t="s">
        <v>12</v>
      </c>
      <c r="I34" s="269"/>
      <c r="J34" s="269"/>
      <c r="K34" s="497"/>
      <c r="L34" s="497">
        <f ca="1">L35+L36</f>
        <v>0</v>
      </c>
      <c r="M34" s="497">
        <f>M35+M36</f>
        <v>0</v>
      </c>
      <c r="N34" s="497">
        <f>N35+N36</f>
        <v>0</v>
      </c>
      <c r="O34" s="497">
        <f t="shared" ca="1" si="10"/>
        <v>0</v>
      </c>
      <c r="P34" s="497">
        <f t="shared" si="11"/>
        <v>0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8.75" hidden="1">
      <c r="A35" s="38"/>
      <c r="B35" s="39"/>
      <c r="C35" s="39"/>
      <c r="D35" s="39"/>
      <c r="E35" s="222" t="s">
        <v>18</v>
      </c>
      <c r="F35" s="39"/>
      <c r="G35" s="41"/>
      <c r="H35" s="42" t="s">
        <v>12</v>
      </c>
      <c r="I35" s="612"/>
      <c r="J35" s="612"/>
      <c r="K35" s="92"/>
      <c r="L35" s="92">
        <f t="shared" ref="L35:N36" si="14">L430+L455+L478+L513+L534+L556+L640+L666+L696+L748+L765+L781+L797+L816</f>
        <v>0</v>
      </c>
      <c r="M35" s="92">
        <f t="shared" si="14"/>
        <v>0</v>
      </c>
      <c r="N35" s="92">
        <f t="shared" si="14"/>
        <v>0</v>
      </c>
      <c r="O35" s="92">
        <f t="shared" si="10"/>
        <v>0</v>
      </c>
      <c r="P35" s="92">
        <f t="shared" si="11"/>
        <v>0</v>
      </c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8.75" hidden="1">
      <c r="A36" s="45"/>
      <c r="B36" s="46"/>
      <c r="C36" s="46"/>
      <c r="D36" s="46"/>
      <c r="E36" s="47" t="s">
        <v>19</v>
      </c>
      <c r="F36" s="46"/>
      <c r="G36" s="48"/>
      <c r="H36" s="49" t="s">
        <v>12</v>
      </c>
      <c r="I36" s="50"/>
      <c r="J36" s="50"/>
      <c r="K36" s="51"/>
      <c r="L36" s="51">
        <f t="shared" ca="1" si="14"/>
        <v>0</v>
      </c>
      <c r="M36" s="51">
        <f t="shared" si="14"/>
        <v>0</v>
      </c>
      <c r="N36" s="51">
        <f t="shared" si="14"/>
        <v>0</v>
      </c>
      <c r="O36" s="51">
        <f t="shared" ca="1" si="10"/>
        <v>0</v>
      </c>
      <c r="P36" s="51">
        <f t="shared" si="11"/>
        <v>0</v>
      </c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9.5">
      <c r="A37" s="52" t="s">
        <v>24</v>
      </c>
      <c r="B37" s="53"/>
      <c r="C37" s="53"/>
      <c r="D37" s="53"/>
      <c r="E37" s="53"/>
      <c r="F37" s="53"/>
      <c r="G37" s="54"/>
      <c r="H37" s="55"/>
      <c r="I37" s="56"/>
      <c r="J37" s="56"/>
      <c r="K37" s="57"/>
      <c r="L37" s="58">
        <f ca="1">L41+L53+L66+L88+L119+L132+L149+L165+L181+L261+L277+L298+L315+L328+L345+L389+L402</f>
        <v>2029255</v>
      </c>
      <c r="M37" s="58">
        <f ca="1">M41+M53+M66+M88+M119+M132+M149+M165+M181+M261+M277+M298+M315+M328+M345+M389+M402</f>
        <v>2208467.44</v>
      </c>
      <c r="N37" s="58">
        <f ca="1">N41+N53+N66+N88+N119+N132+N149+N165+N181+N261+N277+N298+N315+N328+N345+N389+N402</f>
        <v>2208467.44</v>
      </c>
      <c r="O37" s="58">
        <f t="shared" ca="1" si="10"/>
        <v>108.83144010979399</v>
      </c>
      <c r="P37" s="58">
        <f t="shared" ca="1" si="11"/>
        <v>100</v>
      </c>
    </row>
    <row r="38" spans="1:26" ht="19.5">
      <c r="A38" s="59" t="s">
        <v>25</v>
      </c>
      <c r="B38" s="60"/>
      <c r="C38" s="60"/>
      <c r="D38" s="60"/>
      <c r="E38" s="60"/>
      <c r="F38" s="60"/>
      <c r="G38" s="61"/>
      <c r="H38" s="62"/>
      <c r="I38" s="63"/>
      <c r="J38" s="63"/>
      <c r="K38" s="64"/>
      <c r="L38" s="64"/>
      <c r="M38" s="64"/>
      <c r="N38" s="64"/>
      <c r="O38" s="64"/>
      <c r="P38" s="64"/>
    </row>
    <row r="39" spans="1:26" ht="19.5">
      <c r="A39" s="65"/>
      <c r="B39" s="66" t="s">
        <v>26</v>
      </c>
      <c r="C39" s="67"/>
      <c r="D39" s="67"/>
      <c r="E39" s="67"/>
      <c r="F39" s="67"/>
      <c r="G39" s="68"/>
      <c r="H39" s="69"/>
      <c r="I39" s="70"/>
      <c r="J39" s="70"/>
      <c r="K39" s="71"/>
      <c r="L39" s="71"/>
      <c r="M39" s="71"/>
      <c r="N39" s="71"/>
      <c r="O39" s="71"/>
      <c r="P39" s="71"/>
    </row>
    <row r="40" spans="1:26" ht="19.5">
      <c r="A40" s="72"/>
      <c r="B40" s="898" t="s">
        <v>27</v>
      </c>
      <c r="C40" s="887"/>
      <c r="D40" s="887"/>
      <c r="E40" s="887"/>
      <c r="F40" s="887"/>
      <c r="G40" s="893"/>
      <c r="H40" s="73"/>
      <c r="I40" s="74"/>
      <c r="J40" s="74"/>
      <c r="K40" s="75"/>
      <c r="L40" s="75"/>
      <c r="M40" s="75"/>
      <c r="N40" s="75"/>
      <c r="O40" s="75"/>
      <c r="P40" s="75"/>
    </row>
    <row r="41" spans="1:26" ht="19.5">
      <c r="A41" s="76"/>
      <c r="B41" s="77"/>
      <c r="C41" s="78" t="s">
        <v>16</v>
      </c>
      <c r="D41" s="869" t="s">
        <v>17</v>
      </c>
      <c r="E41" s="77"/>
      <c r="F41" s="77"/>
      <c r="G41" s="80"/>
      <c r="H41" s="81" t="s">
        <v>12</v>
      </c>
      <c r="I41" s="82"/>
      <c r="J41" s="82"/>
      <c r="K41" s="83"/>
      <c r="L41" s="84">
        <f ca="1">L42+L43</f>
        <v>293400</v>
      </c>
      <c r="M41" s="84">
        <f ca="1">M42+M43</f>
        <v>345072.44</v>
      </c>
      <c r="N41" s="84">
        <f ca="1">N42+N43</f>
        <v>345072.44</v>
      </c>
      <c r="O41" s="84">
        <f t="shared" ref="O41:O49" ca="1" si="15">IF(L41&gt;0,N41*100/L41,0)</f>
        <v>117.61160190865712</v>
      </c>
      <c r="P41" s="84">
        <f t="shared" ref="P41:P49" ca="1" si="16">IF(M41&gt;0,N41*100/M41,0)</f>
        <v>100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8.75" hidden="1">
      <c r="A42" s="85"/>
      <c r="B42" s="86"/>
      <c r="C42" s="86"/>
      <c r="D42" s="86"/>
      <c r="E42" s="87" t="s">
        <v>18</v>
      </c>
      <c r="F42" s="86"/>
      <c r="G42" s="88"/>
      <c r="H42" s="89" t="s">
        <v>12</v>
      </c>
      <c r="I42" s="90"/>
      <c r="J42" s="90"/>
      <c r="K42" s="91"/>
      <c r="L42" s="91">
        <f t="shared" ref="L42:N43" si="17">L45+L48</f>
        <v>0</v>
      </c>
      <c r="M42" s="91">
        <f t="shared" si="17"/>
        <v>0</v>
      </c>
      <c r="N42" s="91">
        <f t="shared" si="17"/>
        <v>0</v>
      </c>
      <c r="O42" s="91">
        <f t="shared" si="15"/>
        <v>0</v>
      </c>
      <c r="P42" s="91">
        <f t="shared" si="16"/>
        <v>0</v>
      </c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8.75" hidden="1">
      <c r="A43" s="85"/>
      <c r="B43" s="86"/>
      <c r="C43" s="86"/>
      <c r="D43" s="86"/>
      <c r="E43" s="87" t="s">
        <v>19</v>
      </c>
      <c r="F43" s="86"/>
      <c r="G43" s="88"/>
      <c r="H43" s="89" t="s">
        <v>12</v>
      </c>
      <c r="I43" s="90"/>
      <c r="J43" s="90"/>
      <c r="K43" s="91"/>
      <c r="L43" s="91">
        <f t="shared" ca="1" si="17"/>
        <v>293400</v>
      </c>
      <c r="M43" s="91">
        <f t="shared" ca="1" si="17"/>
        <v>345072.44</v>
      </c>
      <c r="N43" s="91">
        <f t="shared" ca="1" si="17"/>
        <v>345072.44</v>
      </c>
      <c r="O43" s="91">
        <f t="shared" ca="1" si="15"/>
        <v>117.61160190865712</v>
      </c>
      <c r="P43" s="91">
        <f t="shared" ca="1" si="16"/>
        <v>100</v>
      </c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8.75">
      <c r="A44" s="31"/>
      <c r="B44" s="32"/>
      <c r="C44" s="32"/>
      <c r="D44" s="33" t="s">
        <v>20</v>
      </c>
      <c r="E44" s="32"/>
      <c r="F44" s="32"/>
      <c r="G44" s="34"/>
      <c r="H44" s="618" t="s">
        <v>12</v>
      </c>
      <c r="I44" s="269"/>
      <c r="J44" s="269"/>
      <c r="K44" s="497"/>
      <c r="L44" s="497">
        <f ca="1">L45+L46</f>
        <v>293400</v>
      </c>
      <c r="M44" s="497">
        <f ca="1">M45+M46</f>
        <v>345072.44</v>
      </c>
      <c r="N44" s="497">
        <f ca="1">N45+N46</f>
        <v>345072.44</v>
      </c>
      <c r="O44" s="497">
        <f t="shared" ca="1" si="15"/>
        <v>117.61160190865712</v>
      </c>
      <c r="P44" s="497">
        <f t="shared" ca="1" si="16"/>
        <v>100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8.75" hidden="1">
      <c r="A45" s="38"/>
      <c r="B45" s="39"/>
      <c r="C45" s="39"/>
      <c r="D45" s="39"/>
      <c r="E45" s="222" t="s">
        <v>18</v>
      </c>
      <c r="F45" s="39"/>
      <c r="G45" s="41"/>
      <c r="H45" s="42" t="s">
        <v>12</v>
      </c>
      <c r="I45" s="612"/>
      <c r="J45" s="612"/>
      <c r="K45" s="92"/>
      <c r="L45" s="92">
        <v>0</v>
      </c>
      <c r="M45" s="92">
        <v>0</v>
      </c>
      <c r="N45" s="92">
        <v>0</v>
      </c>
      <c r="O45" s="92">
        <f t="shared" si="15"/>
        <v>0</v>
      </c>
      <c r="P45" s="92">
        <f t="shared" si="16"/>
        <v>0</v>
      </c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8.75" hidden="1">
      <c r="A46" s="38"/>
      <c r="B46" s="39"/>
      <c r="C46" s="39"/>
      <c r="D46" s="39"/>
      <c r="E46" s="222" t="s">
        <v>19</v>
      </c>
      <c r="F46" s="39"/>
      <c r="G46" s="41"/>
      <c r="H46" s="42" t="s">
        <v>12</v>
      </c>
      <c r="I46" s="612"/>
      <c r="J46" s="612"/>
      <c r="K46" s="92"/>
      <c r="L46" s="92">
        <f ca="1">IFERROR(__xludf.DUMMYFUNCTION("IMPORTRANGE(""https://docs.google.com/spreadsheets/d/1MeEWN-I1oV_STSDYn1IFDPWt_1FKiwhDph83XaGc0o0/edit?usp=sharing"",""งบพรบ!M60"")"),293400)</f>
        <v>293400</v>
      </c>
      <c r="M46" s="92">
        <f ca="1">IFERROR(__xludf.DUMMYFUNCTION("IMPORTRANGE(""https://docs.google.com/spreadsheets/d/1MeEWN-I1oV_STSDYn1IFDPWt_1FKiwhDph83XaGc0o0/edit?usp=sharing"",""งบพรบ!R60"")"),345072.44)</f>
        <v>345072.44</v>
      </c>
      <c r="N46" s="92">
        <f ca="1">IFERROR(__xludf.DUMMYFUNCTION("IMPORTRANGE(""https://docs.google.com/spreadsheets/d/1MeEWN-I1oV_STSDYn1IFDPWt_1FKiwhDph83XaGc0o0/edit?usp=sharing"",""งบพรบ!T60"")"),345072.44)</f>
        <v>345072.44</v>
      </c>
      <c r="O46" s="92">
        <f t="shared" ca="1" si="15"/>
        <v>117.61160190865712</v>
      </c>
      <c r="P46" s="92">
        <f t="shared" ca="1" si="16"/>
        <v>100</v>
      </c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8.75">
      <c r="A47" s="31"/>
      <c r="B47" s="32"/>
      <c r="C47" s="32"/>
      <c r="D47" s="33" t="s">
        <v>21</v>
      </c>
      <c r="E47" s="32"/>
      <c r="F47" s="32"/>
      <c r="G47" s="34"/>
      <c r="H47" s="618" t="s">
        <v>12</v>
      </c>
      <c r="I47" s="269"/>
      <c r="J47" s="269"/>
      <c r="K47" s="497"/>
      <c r="L47" s="497">
        <f ca="1">L48+L49</f>
        <v>0</v>
      </c>
      <c r="M47" s="497">
        <f ca="1">M48+M49</f>
        <v>0</v>
      </c>
      <c r="N47" s="497">
        <f ca="1">N48+N49</f>
        <v>0</v>
      </c>
      <c r="O47" s="497">
        <f t="shared" ca="1" si="15"/>
        <v>0</v>
      </c>
      <c r="P47" s="497">
        <f t="shared" ca="1" si="16"/>
        <v>0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8.75" hidden="1">
      <c r="A48" s="38"/>
      <c r="B48" s="39"/>
      <c r="C48" s="39"/>
      <c r="D48" s="39"/>
      <c r="E48" s="222" t="s">
        <v>18</v>
      </c>
      <c r="F48" s="39"/>
      <c r="G48" s="41"/>
      <c r="H48" s="42" t="s">
        <v>12</v>
      </c>
      <c r="I48" s="612"/>
      <c r="J48" s="612"/>
      <c r="K48" s="92"/>
      <c r="L48" s="92">
        <v>0</v>
      </c>
      <c r="M48" s="92">
        <v>0</v>
      </c>
      <c r="N48" s="92">
        <v>0</v>
      </c>
      <c r="O48" s="92">
        <f t="shared" si="15"/>
        <v>0</v>
      </c>
      <c r="P48" s="92">
        <f t="shared" si="16"/>
        <v>0</v>
      </c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8.75" hidden="1">
      <c r="A49" s="45"/>
      <c r="B49" s="46"/>
      <c r="C49" s="46"/>
      <c r="D49" s="46"/>
      <c r="E49" s="47" t="s">
        <v>19</v>
      </c>
      <c r="F49" s="46"/>
      <c r="G49" s="48"/>
      <c r="H49" s="49" t="s">
        <v>12</v>
      </c>
      <c r="I49" s="50"/>
      <c r="J49" s="50"/>
      <c r="K49" s="51"/>
      <c r="L49" s="51">
        <f ca="1">IFERROR(__xludf.DUMMYFUNCTION("IMPORTRANGE(""https://docs.google.com/spreadsheets/d/1MeEWN-I1oV_STSDYn1IFDPWt_1FKiwhDph83XaGc0o0/edit?usp=sharing"",""งบพรบ!P60"")"),0)</f>
        <v>0</v>
      </c>
      <c r="M49" s="51">
        <f ca="1">IFERROR(__xludf.DUMMYFUNCTION("IMPORTRANGE(""https://docs.google.com/spreadsheets/d/1MeEWN-I1oV_STSDYn1IFDPWt_1FKiwhDph83XaGc0o0/edit?usp=sharing"",""งบพรบ!S60"")"),0)</f>
        <v>0</v>
      </c>
      <c r="N49" s="51">
        <f ca="1">IFERROR(__xludf.DUMMYFUNCTION("IMPORTRANGE(""https://docs.google.com/spreadsheets/d/1MeEWN-I1oV_STSDYn1IFDPWt_1FKiwhDph83XaGc0o0/edit?usp=sharing"",""งบพรบ!U60"")"),0)</f>
        <v>0</v>
      </c>
      <c r="O49" s="51">
        <f t="shared" ca="1" si="15"/>
        <v>0</v>
      </c>
      <c r="P49" s="51">
        <f t="shared" ca="1" si="16"/>
        <v>0</v>
      </c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9.5">
      <c r="A50" s="899" t="s">
        <v>28</v>
      </c>
      <c r="B50" s="896"/>
      <c r="C50" s="896"/>
      <c r="D50" s="896"/>
      <c r="E50" s="896"/>
      <c r="F50" s="896"/>
      <c r="G50" s="897"/>
      <c r="H50" s="93"/>
      <c r="I50" s="94"/>
      <c r="J50" s="94"/>
      <c r="K50" s="95"/>
      <c r="L50" s="95"/>
      <c r="M50" s="95"/>
      <c r="N50" s="95"/>
      <c r="O50" s="95"/>
      <c r="P50" s="95"/>
    </row>
    <row r="51" spans="1:26" ht="19.5">
      <c r="A51" s="96"/>
      <c r="B51" s="892" t="s">
        <v>29</v>
      </c>
      <c r="C51" s="887"/>
      <c r="D51" s="887"/>
      <c r="E51" s="887"/>
      <c r="F51" s="887"/>
      <c r="G51" s="893"/>
      <c r="H51" s="97"/>
      <c r="I51" s="98"/>
      <c r="J51" s="98"/>
      <c r="K51" s="99"/>
      <c r="L51" s="99"/>
      <c r="M51" s="99"/>
      <c r="N51" s="99"/>
      <c r="O51" s="99"/>
      <c r="P51" s="99"/>
    </row>
    <row r="52" spans="1:26" ht="19.5">
      <c r="A52" s="100"/>
      <c r="B52" s="101" t="s">
        <v>30</v>
      </c>
      <c r="C52" s="102"/>
      <c r="D52" s="102"/>
      <c r="E52" s="102"/>
      <c r="F52" s="102"/>
      <c r="G52" s="103"/>
      <c r="H52" s="104"/>
      <c r="I52" s="105"/>
      <c r="J52" s="105"/>
      <c r="K52" s="106"/>
      <c r="L52" s="106"/>
      <c r="M52" s="106"/>
      <c r="N52" s="106"/>
      <c r="O52" s="106"/>
      <c r="P52" s="106"/>
    </row>
    <row r="53" spans="1:26" ht="19.5">
      <c r="A53" s="107"/>
      <c r="B53" s="108"/>
      <c r="C53" s="109" t="s">
        <v>16</v>
      </c>
      <c r="D53" s="868" t="s">
        <v>17</v>
      </c>
      <c r="E53" s="108"/>
      <c r="F53" s="108"/>
      <c r="G53" s="111"/>
      <c r="H53" s="112" t="s">
        <v>12</v>
      </c>
      <c r="I53" s="113"/>
      <c r="J53" s="113"/>
      <c r="K53" s="114"/>
      <c r="L53" s="115">
        <f ca="1">L54+L55</f>
        <v>566800</v>
      </c>
      <c r="M53" s="115">
        <f ca="1">M54+M55</f>
        <v>626320</v>
      </c>
      <c r="N53" s="115">
        <f ca="1">N54+N55</f>
        <v>626320</v>
      </c>
      <c r="O53" s="115">
        <f t="shared" ref="O53:O61" ca="1" si="18">IF(L53&gt;0,N53*100/L53,0)</f>
        <v>110.50105857445307</v>
      </c>
      <c r="P53" s="115">
        <f t="shared" ref="P53:P61" ca="1" si="19">IF(M53&gt;0,N53*100/M53,0)</f>
        <v>100</v>
      </c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8.75" hidden="1">
      <c r="A54" s="116"/>
      <c r="B54" s="117"/>
      <c r="C54" s="117"/>
      <c r="D54" s="117"/>
      <c r="E54" s="118" t="s">
        <v>18</v>
      </c>
      <c r="F54" s="117"/>
      <c r="G54" s="119"/>
      <c r="H54" s="120" t="s">
        <v>12</v>
      </c>
      <c r="I54" s="121"/>
      <c r="J54" s="121"/>
      <c r="K54" s="122"/>
      <c r="L54" s="122">
        <f t="shared" ref="L54:N55" si="20">L57+L60</f>
        <v>0</v>
      </c>
      <c r="M54" s="122">
        <f t="shared" si="20"/>
        <v>0</v>
      </c>
      <c r="N54" s="122">
        <f t="shared" si="20"/>
        <v>0</v>
      </c>
      <c r="O54" s="122">
        <f t="shared" si="18"/>
        <v>0</v>
      </c>
      <c r="P54" s="122">
        <f t="shared" si="19"/>
        <v>0</v>
      </c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8.75" hidden="1">
      <c r="A55" s="116"/>
      <c r="B55" s="117"/>
      <c r="C55" s="117"/>
      <c r="D55" s="117"/>
      <c r="E55" s="118" t="s">
        <v>19</v>
      </c>
      <c r="F55" s="117"/>
      <c r="G55" s="119"/>
      <c r="H55" s="120" t="s">
        <v>12</v>
      </c>
      <c r="I55" s="121"/>
      <c r="J55" s="121"/>
      <c r="K55" s="122"/>
      <c r="L55" s="122">
        <f t="shared" ca="1" si="20"/>
        <v>566800</v>
      </c>
      <c r="M55" s="122">
        <f t="shared" ca="1" si="20"/>
        <v>626320</v>
      </c>
      <c r="N55" s="122">
        <f t="shared" ca="1" si="20"/>
        <v>626320</v>
      </c>
      <c r="O55" s="122">
        <f t="shared" ca="1" si="18"/>
        <v>110.50105857445307</v>
      </c>
      <c r="P55" s="122">
        <f t="shared" ca="1" si="19"/>
        <v>100</v>
      </c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8.75">
      <c r="A56" s="31"/>
      <c r="B56" s="32"/>
      <c r="C56" s="32"/>
      <c r="D56" s="33" t="s">
        <v>20</v>
      </c>
      <c r="E56" s="32"/>
      <c r="F56" s="32"/>
      <c r="G56" s="34"/>
      <c r="H56" s="618" t="s">
        <v>12</v>
      </c>
      <c r="I56" s="269"/>
      <c r="J56" s="269"/>
      <c r="K56" s="497"/>
      <c r="L56" s="497">
        <f ca="1">L57+L58</f>
        <v>566800</v>
      </c>
      <c r="M56" s="497">
        <f ca="1">M57+M58</f>
        <v>626320</v>
      </c>
      <c r="N56" s="497">
        <f ca="1">N57+N58</f>
        <v>626320</v>
      </c>
      <c r="O56" s="497">
        <f t="shared" ca="1" si="18"/>
        <v>110.50105857445307</v>
      </c>
      <c r="P56" s="497">
        <f t="shared" ca="1" si="19"/>
        <v>100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8.75" hidden="1">
      <c r="A57" s="38"/>
      <c r="B57" s="39"/>
      <c r="C57" s="39"/>
      <c r="D57" s="39"/>
      <c r="E57" s="222" t="s">
        <v>18</v>
      </c>
      <c r="F57" s="39"/>
      <c r="G57" s="41"/>
      <c r="H57" s="42" t="s">
        <v>12</v>
      </c>
      <c r="I57" s="612"/>
      <c r="J57" s="612"/>
      <c r="K57" s="92"/>
      <c r="L57" s="92">
        <v>0</v>
      </c>
      <c r="M57" s="92">
        <v>0</v>
      </c>
      <c r="N57" s="92">
        <v>0</v>
      </c>
      <c r="O57" s="92">
        <f t="shared" si="18"/>
        <v>0</v>
      </c>
      <c r="P57" s="92">
        <f t="shared" si="19"/>
        <v>0</v>
      </c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8.75" hidden="1">
      <c r="A58" s="38"/>
      <c r="B58" s="39"/>
      <c r="C58" s="39"/>
      <c r="D58" s="39"/>
      <c r="E58" s="222" t="s">
        <v>19</v>
      </c>
      <c r="F58" s="39"/>
      <c r="G58" s="41"/>
      <c r="H58" s="42" t="s">
        <v>12</v>
      </c>
      <c r="I58" s="612"/>
      <c r="J58" s="612"/>
      <c r="K58" s="92"/>
      <c r="L58" s="92">
        <f ca="1">IFERROR(__xludf.DUMMYFUNCTION("IMPORTRANGE(""https://docs.google.com/spreadsheets/d/1MeEWN-I1oV_STSDYn1IFDPWt_1FKiwhDph83XaGc0o0/edit?usp=sharing"",""งบพรบ!W60"")"),566800)</f>
        <v>566800</v>
      </c>
      <c r="M58" s="92">
        <f ca="1">IFERROR(__xludf.DUMMYFUNCTION("IMPORTRANGE(""https://docs.google.com/spreadsheets/d/1MeEWN-I1oV_STSDYn1IFDPWt_1FKiwhDph83XaGc0o0/edit?usp=sharing"",""งบพรบ!AB60"")"),626320)</f>
        <v>626320</v>
      </c>
      <c r="N58" s="92">
        <f ca="1">IFERROR(__xludf.DUMMYFUNCTION("IMPORTRANGE(""https://docs.google.com/spreadsheets/d/1MeEWN-I1oV_STSDYn1IFDPWt_1FKiwhDph83XaGc0o0/edit?usp=sharing"",""งบพรบ!AD60"")"),626320)</f>
        <v>626320</v>
      </c>
      <c r="O58" s="92">
        <f t="shared" ca="1" si="18"/>
        <v>110.50105857445307</v>
      </c>
      <c r="P58" s="92">
        <f t="shared" ca="1" si="19"/>
        <v>100</v>
      </c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8.75">
      <c r="A59" s="31"/>
      <c r="B59" s="32"/>
      <c r="C59" s="32"/>
      <c r="D59" s="33" t="s">
        <v>21</v>
      </c>
      <c r="E59" s="32"/>
      <c r="F59" s="32"/>
      <c r="G59" s="34"/>
      <c r="H59" s="618" t="s">
        <v>12</v>
      </c>
      <c r="I59" s="269"/>
      <c r="J59" s="269"/>
      <c r="K59" s="497"/>
      <c r="L59" s="497">
        <f ca="1">L60+L61</f>
        <v>0</v>
      </c>
      <c r="M59" s="497">
        <f ca="1">M60+M61</f>
        <v>0</v>
      </c>
      <c r="N59" s="497">
        <f ca="1">N60+N61</f>
        <v>0</v>
      </c>
      <c r="O59" s="497">
        <f t="shared" ca="1" si="18"/>
        <v>0</v>
      </c>
      <c r="P59" s="497">
        <f t="shared" ca="1" si="19"/>
        <v>0</v>
      </c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8.75" hidden="1">
      <c r="A60" s="38"/>
      <c r="B60" s="39"/>
      <c r="C60" s="39"/>
      <c r="D60" s="39"/>
      <c r="E60" s="222" t="s">
        <v>18</v>
      </c>
      <c r="F60" s="39"/>
      <c r="G60" s="41"/>
      <c r="H60" s="42" t="s">
        <v>12</v>
      </c>
      <c r="I60" s="612"/>
      <c r="J60" s="612"/>
      <c r="K60" s="92"/>
      <c r="L60" s="92">
        <v>0</v>
      </c>
      <c r="M60" s="92">
        <v>0</v>
      </c>
      <c r="N60" s="92">
        <v>0</v>
      </c>
      <c r="O60" s="92">
        <f t="shared" si="18"/>
        <v>0</v>
      </c>
      <c r="P60" s="92">
        <f t="shared" si="19"/>
        <v>0</v>
      </c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8.75" hidden="1">
      <c r="A61" s="45"/>
      <c r="B61" s="46"/>
      <c r="C61" s="46"/>
      <c r="D61" s="46"/>
      <c r="E61" s="47" t="s">
        <v>19</v>
      </c>
      <c r="F61" s="46"/>
      <c r="G61" s="48"/>
      <c r="H61" s="49" t="s">
        <v>12</v>
      </c>
      <c r="I61" s="50"/>
      <c r="J61" s="50"/>
      <c r="K61" s="51"/>
      <c r="L61" s="51">
        <f ca="1">IFERROR(__xludf.DUMMYFUNCTION("IMPORTRANGE(""https://docs.google.com/spreadsheets/d/1MeEWN-I1oV_STSDYn1IFDPWt_1FKiwhDph83XaGc0o0/edit?usp=sharing"",""งบพรบ!Z60"")"),0)</f>
        <v>0</v>
      </c>
      <c r="M61" s="51">
        <f ca="1">IFERROR(__xludf.DUMMYFUNCTION("IMPORTRANGE(""https://docs.google.com/spreadsheets/d/1MeEWN-I1oV_STSDYn1IFDPWt_1FKiwhDph83XaGc0o0/edit?usp=sharing"",""งบพรบ!AC60"")"),0)</f>
        <v>0</v>
      </c>
      <c r="N61" s="51">
        <f ca="1">IFERROR(__xludf.DUMMYFUNCTION("IMPORTRANGE(""https://docs.google.com/spreadsheets/d/1MeEWN-I1oV_STSDYn1IFDPWt_1FKiwhDph83XaGc0o0/edit?usp=sharing"",""งบพรบ!AE60"")"),0)</f>
        <v>0</v>
      </c>
      <c r="O61" s="51">
        <f t="shared" ca="1" si="18"/>
        <v>0</v>
      </c>
      <c r="P61" s="51">
        <f t="shared" ca="1" si="19"/>
        <v>0</v>
      </c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9.5">
      <c r="A62" s="123" t="s">
        <v>31</v>
      </c>
      <c r="B62" s="124"/>
      <c r="C62" s="124"/>
      <c r="D62" s="124"/>
      <c r="E62" s="125"/>
      <c r="F62" s="125"/>
      <c r="G62" s="126"/>
      <c r="H62" s="127"/>
      <c r="I62" s="128"/>
      <c r="J62" s="128"/>
      <c r="K62" s="129"/>
      <c r="L62" s="129"/>
      <c r="M62" s="129"/>
      <c r="N62" s="129"/>
      <c r="O62" s="129"/>
      <c r="P62" s="129"/>
    </row>
    <row r="63" spans="1:26" ht="19.5" hidden="1">
      <c r="A63" s="130" t="s">
        <v>32</v>
      </c>
      <c r="B63" s="131"/>
      <c r="C63" s="132"/>
      <c r="D63" s="131"/>
      <c r="E63" s="131"/>
      <c r="F63" s="131"/>
      <c r="G63" s="133"/>
      <c r="H63" s="134"/>
      <c r="I63" s="135"/>
      <c r="J63" s="135"/>
      <c r="K63" s="136"/>
      <c r="L63" s="136"/>
      <c r="M63" s="136"/>
      <c r="N63" s="136"/>
      <c r="O63" s="136"/>
      <c r="P63" s="136"/>
    </row>
    <row r="64" spans="1:26" ht="19.5" hidden="1">
      <c r="A64" s="137"/>
      <c r="B64" s="208" t="s">
        <v>33</v>
      </c>
      <c r="C64" s="139"/>
      <c r="D64" s="140"/>
      <c r="E64" s="139"/>
      <c r="F64" s="139"/>
      <c r="G64" s="141"/>
      <c r="H64" s="204" t="s">
        <v>34</v>
      </c>
      <c r="I64" s="143">
        <f ca="1">I76</f>
        <v>0</v>
      </c>
      <c r="J64" s="143">
        <f>J76</f>
        <v>0</v>
      </c>
      <c r="K64" s="144">
        <f ca="1">IF(I64&gt;0,J64*100/I64,0)</f>
        <v>0</v>
      </c>
      <c r="L64" s="145"/>
      <c r="M64" s="145"/>
      <c r="N64" s="145"/>
      <c r="O64" s="145"/>
      <c r="P64" s="145"/>
    </row>
    <row r="65" spans="1:26" ht="19.5" hidden="1">
      <c r="A65" s="137"/>
      <c r="B65" s="139"/>
      <c r="C65" s="139"/>
      <c r="D65" s="140"/>
      <c r="E65" s="139"/>
      <c r="F65" s="139"/>
      <c r="G65" s="141"/>
      <c r="H65" s="204" t="s">
        <v>35</v>
      </c>
      <c r="I65" s="143">
        <f ca="1">I77</f>
        <v>0</v>
      </c>
      <c r="J65" s="143">
        <f>J77</f>
        <v>0</v>
      </c>
      <c r="K65" s="144">
        <f ca="1">IF(I65&gt;0,J65*100/I65,0)</f>
        <v>0</v>
      </c>
      <c r="L65" s="145"/>
      <c r="M65" s="145"/>
      <c r="N65" s="145"/>
      <c r="O65" s="145"/>
      <c r="P65" s="145"/>
    </row>
    <row r="66" spans="1:26" ht="19.5" hidden="1">
      <c r="A66" s="146"/>
      <c r="B66" s="147"/>
      <c r="C66" s="148" t="s">
        <v>16</v>
      </c>
      <c r="D66" s="855" t="s">
        <v>17</v>
      </c>
      <c r="E66" s="147"/>
      <c r="F66" s="147"/>
      <c r="G66" s="150"/>
      <c r="H66" s="151" t="s">
        <v>12</v>
      </c>
      <c r="I66" s="419"/>
      <c r="J66" s="419"/>
      <c r="K66" s="153"/>
      <c r="L66" s="154">
        <f ca="1">L67+L68</f>
        <v>0</v>
      </c>
      <c r="M66" s="154">
        <f ca="1">M67+M68</f>
        <v>0</v>
      </c>
      <c r="N66" s="154">
        <f ca="1">N67+N68</f>
        <v>0</v>
      </c>
      <c r="O66" s="154">
        <f t="shared" ref="O66:O74" ca="1" si="21">IF(L66&gt;0,N66*100/L66,0)</f>
        <v>0</v>
      </c>
      <c r="P66" s="154">
        <f t="shared" ref="P66:P74" ca="1" si="22">IF(M66&gt;0,N66*100/M66,0)</f>
        <v>0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8.75" hidden="1">
      <c r="A67" s="155"/>
      <c r="B67" s="39"/>
      <c r="C67" s="39"/>
      <c r="D67" s="39"/>
      <c r="E67" s="222" t="s">
        <v>18</v>
      </c>
      <c r="F67" s="39"/>
      <c r="G67" s="156"/>
      <c r="H67" s="157" t="s">
        <v>12</v>
      </c>
      <c r="I67" s="612"/>
      <c r="J67" s="612"/>
      <c r="K67" s="92"/>
      <c r="L67" s="92">
        <f t="shared" ref="L67:N68" si="23">L70+L73</f>
        <v>0</v>
      </c>
      <c r="M67" s="92">
        <f t="shared" si="23"/>
        <v>0</v>
      </c>
      <c r="N67" s="92">
        <f t="shared" si="23"/>
        <v>0</v>
      </c>
      <c r="O67" s="92">
        <f t="shared" si="21"/>
        <v>0</v>
      </c>
      <c r="P67" s="92">
        <f t="shared" si="22"/>
        <v>0</v>
      </c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8.75" hidden="1">
      <c r="A68" s="155"/>
      <c r="B68" s="39"/>
      <c r="C68" s="39"/>
      <c r="D68" s="39"/>
      <c r="E68" s="222" t="s">
        <v>19</v>
      </c>
      <c r="F68" s="39"/>
      <c r="G68" s="156"/>
      <c r="H68" s="157" t="s">
        <v>12</v>
      </c>
      <c r="I68" s="612"/>
      <c r="J68" s="612"/>
      <c r="K68" s="92"/>
      <c r="L68" s="92">
        <f t="shared" ca="1" si="23"/>
        <v>0</v>
      </c>
      <c r="M68" s="92">
        <f t="shared" ca="1" si="23"/>
        <v>0</v>
      </c>
      <c r="N68" s="92">
        <f t="shared" ca="1" si="23"/>
        <v>0</v>
      </c>
      <c r="O68" s="92">
        <f t="shared" ca="1" si="21"/>
        <v>0</v>
      </c>
      <c r="P68" s="92">
        <f t="shared" ca="1" si="22"/>
        <v>0</v>
      </c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8.75" hidden="1">
      <c r="A69" s="158"/>
      <c r="B69" s="32"/>
      <c r="C69" s="281"/>
      <c r="D69" s="33" t="s">
        <v>20</v>
      </c>
      <c r="E69" s="32"/>
      <c r="F69" s="32"/>
      <c r="G69" s="34"/>
      <c r="H69" s="160" t="s">
        <v>12</v>
      </c>
      <c r="I69" s="183"/>
      <c r="J69" s="183"/>
      <c r="K69" s="162"/>
      <c r="L69" s="497">
        <f ca="1">L70+L71</f>
        <v>0</v>
      </c>
      <c r="M69" s="497">
        <f ca="1">M70+M71</f>
        <v>0</v>
      </c>
      <c r="N69" s="497">
        <f ca="1">N70+N71</f>
        <v>0</v>
      </c>
      <c r="O69" s="497">
        <f t="shared" ca="1" si="21"/>
        <v>0</v>
      </c>
      <c r="P69" s="497">
        <f t="shared" ca="1" si="22"/>
        <v>0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9.5" hidden="1">
      <c r="A70" s="155"/>
      <c r="B70" s="39"/>
      <c r="C70" s="163"/>
      <c r="D70" s="39"/>
      <c r="E70" s="222" t="s">
        <v>36</v>
      </c>
      <c r="F70" s="39"/>
      <c r="G70" s="156"/>
      <c r="H70" s="164" t="s">
        <v>12</v>
      </c>
      <c r="I70" s="165"/>
      <c r="J70" s="165"/>
      <c r="K70" s="166"/>
      <c r="L70" s="92">
        <v>0</v>
      </c>
      <c r="M70" s="92">
        <v>0</v>
      </c>
      <c r="N70" s="92">
        <v>0</v>
      </c>
      <c r="O70" s="92">
        <f t="shared" si="21"/>
        <v>0</v>
      </c>
      <c r="P70" s="92">
        <f t="shared" si="22"/>
        <v>0</v>
      </c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9.5" hidden="1">
      <c r="A71" s="155"/>
      <c r="B71" s="39"/>
      <c r="C71" s="163"/>
      <c r="D71" s="39"/>
      <c r="E71" s="222" t="s">
        <v>37</v>
      </c>
      <c r="F71" s="39"/>
      <c r="G71" s="156"/>
      <c r="H71" s="164" t="s">
        <v>12</v>
      </c>
      <c r="I71" s="165"/>
      <c r="J71" s="165"/>
      <c r="K71" s="166"/>
      <c r="L71" s="92">
        <f ca="1">IFERROR(__xludf.DUMMYFUNCTION("IMPORTRANGE(""https://docs.google.com/spreadsheets/d/1MeEWN-I1oV_STSDYn1IFDPWt_1FKiwhDph83XaGc0o0/edit?usp=sharing"",""งบพรบ!AG60"")"),0)</f>
        <v>0</v>
      </c>
      <c r="M71" s="92">
        <f ca="1">IFERROR(__xludf.DUMMYFUNCTION("IMPORTRANGE(""https://docs.google.com/spreadsheets/d/1MeEWN-I1oV_STSDYn1IFDPWt_1FKiwhDph83XaGc0o0/edit?usp=sharing"",""งบพรบ!AL60"")"),0)</f>
        <v>0</v>
      </c>
      <c r="N71" s="92">
        <f ca="1">IFERROR(__xludf.DUMMYFUNCTION("IMPORTRANGE(""https://docs.google.com/spreadsheets/d/1MeEWN-I1oV_STSDYn1IFDPWt_1FKiwhDph83XaGc0o0/edit?usp=sharing"",""งบพรบ!AN60"")"),0)</f>
        <v>0</v>
      </c>
      <c r="O71" s="92">
        <f t="shared" ca="1" si="21"/>
        <v>0</v>
      </c>
      <c r="P71" s="92">
        <f t="shared" ca="1" si="22"/>
        <v>0</v>
      </c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8.75" hidden="1">
      <c r="A72" s="158"/>
      <c r="B72" s="32"/>
      <c r="C72" s="281"/>
      <c r="D72" s="33" t="s">
        <v>21</v>
      </c>
      <c r="E72" s="32"/>
      <c r="F72" s="32"/>
      <c r="G72" s="34"/>
      <c r="H72" s="167" t="s">
        <v>12</v>
      </c>
      <c r="I72" s="183"/>
      <c r="J72" s="183"/>
      <c r="K72" s="162"/>
      <c r="L72" s="497">
        <f ca="1">L73+L74</f>
        <v>0</v>
      </c>
      <c r="M72" s="497">
        <f ca="1">M73+M74</f>
        <v>0</v>
      </c>
      <c r="N72" s="497">
        <f ca="1">N73+N74</f>
        <v>0</v>
      </c>
      <c r="O72" s="497">
        <f t="shared" ca="1" si="21"/>
        <v>0</v>
      </c>
      <c r="P72" s="497">
        <f t="shared" ca="1" si="22"/>
        <v>0</v>
      </c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9.5" hidden="1">
      <c r="A73" s="155"/>
      <c r="B73" s="39"/>
      <c r="C73" s="163"/>
      <c r="D73" s="39"/>
      <c r="E73" s="222" t="s">
        <v>18</v>
      </c>
      <c r="F73" s="39"/>
      <c r="G73" s="156"/>
      <c r="H73" s="164" t="s">
        <v>12</v>
      </c>
      <c r="I73" s="165"/>
      <c r="J73" s="165"/>
      <c r="K73" s="166"/>
      <c r="L73" s="92">
        <v>0</v>
      </c>
      <c r="M73" s="92"/>
      <c r="N73" s="92"/>
      <c r="O73" s="92">
        <f t="shared" si="21"/>
        <v>0</v>
      </c>
      <c r="P73" s="92">
        <f t="shared" si="22"/>
        <v>0</v>
      </c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9.5" hidden="1">
      <c r="A74" s="155"/>
      <c r="B74" s="39"/>
      <c r="C74" s="163"/>
      <c r="D74" s="39"/>
      <c r="E74" s="222" t="s">
        <v>19</v>
      </c>
      <c r="F74" s="39"/>
      <c r="G74" s="156"/>
      <c r="H74" s="168" t="s">
        <v>12</v>
      </c>
      <c r="I74" s="165"/>
      <c r="J74" s="165"/>
      <c r="K74" s="166"/>
      <c r="L74" s="92">
        <f ca="1">IFERROR(__xludf.DUMMYFUNCTION("IMPORTRANGE(""https://docs.google.com/spreadsheets/d/1MeEWN-I1oV_STSDYn1IFDPWt_1FKiwhDph83XaGc0o0/edit?usp=sharing"",""งบพรบ!AJ60"")"),0)</f>
        <v>0</v>
      </c>
      <c r="M74" s="92">
        <f ca="1">IFERROR(__xludf.DUMMYFUNCTION("IMPORTRANGE(""https://docs.google.com/spreadsheets/d/1MeEWN-I1oV_STSDYn1IFDPWt_1FKiwhDph83XaGc0o0/edit?usp=sharing"",""งบพรบ!AM60"")"),0)</f>
        <v>0</v>
      </c>
      <c r="N74" s="92">
        <f ca="1">IFERROR(__xludf.DUMMYFUNCTION("IMPORTRANGE(""https://docs.google.com/spreadsheets/d/1MeEWN-I1oV_STSDYn1IFDPWt_1FKiwhDph83XaGc0o0/edit?usp=sharing"",""งบพรบ!AO60"")"),0)</f>
        <v>0</v>
      </c>
      <c r="O74" s="92">
        <f t="shared" ca="1" si="21"/>
        <v>0</v>
      </c>
      <c r="P74" s="92">
        <f t="shared" ca="1" si="22"/>
        <v>0</v>
      </c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9.5" hidden="1">
      <c r="A75" s="169"/>
      <c r="B75" s="170"/>
      <c r="C75" s="163" t="s">
        <v>16</v>
      </c>
      <c r="D75" s="856" t="s">
        <v>38</v>
      </c>
      <c r="E75" s="172"/>
      <c r="F75" s="172"/>
      <c r="G75" s="173"/>
      <c r="H75" s="757"/>
      <c r="I75" s="183"/>
      <c r="J75" s="183"/>
      <c r="K75" s="162"/>
      <c r="L75" s="162"/>
      <c r="M75" s="162"/>
      <c r="N75" s="162"/>
      <c r="O75" s="162"/>
      <c r="P75" s="162"/>
    </row>
    <row r="76" spans="1:26" ht="19.5" hidden="1">
      <c r="A76" s="169"/>
      <c r="B76" s="170"/>
      <c r="C76" s="170"/>
      <c r="D76" s="175" t="s">
        <v>39</v>
      </c>
      <c r="E76" s="446"/>
      <c r="F76" s="177"/>
      <c r="G76" s="178"/>
      <c r="H76" s="179" t="s">
        <v>34</v>
      </c>
      <c r="I76" s="269">
        <f ca="1">I78+I80+I82</f>
        <v>0</v>
      </c>
      <c r="J76" s="269">
        <f>J78+J80+J82</f>
        <v>0</v>
      </c>
      <c r="K76" s="162">
        <f t="shared" ref="K76:K84" ca="1" si="24">IF(I76&gt;0,J76*100/I76,0)</f>
        <v>0</v>
      </c>
      <c r="L76" s="162"/>
      <c r="M76" s="162"/>
      <c r="N76" s="162"/>
      <c r="O76" s="162"/>
      <c r="P76" s="162"/>
    </row>
    <row r="77" spans="1:26" ht="19.5" hidden="1">
      <c r="A77" s="169"/>
      <c r="B77" s="170"/>
      <c r="C77" s="170"/>
      <c r="D77" s="170"/>
      <c r="E77" s="177"/>
      <c r="F77" s="177"/>
      <c r="G77" s="178"/>
      <c r="H77" s="179" t="s">
        <v>35</v>
      </c>
      <c r="I77" s="269">
        <f ca="1">I79+I81+I83</f>
        <v>0</v>
      </c>
      <c r="J77" s="269">
        <f>J79+J81+J83</f>
        <v>0</v>
      </c>
      <c r="K77" s="162">
        <f t="shared" ca="1" si="24"/>
        <v>0</v>
      </c>
      <c r="L77" s="162"/>
      <c r="M77" s="162"/>
      <c r="N77" s="162"/>
      <c r="O77" s="162"/>
      <c r="P77" s="162"/>
    </row>
    <row r="78" spans="1:26" ht="18.75" hidden="1">
      <c r="A78" s="169"/>
      <c r="B78" s="170"/>
      <c r="C78" s="170"/>
      <c r="D78" s="170"/>
      <c r="E78" s="446" t="s">
        <v>40</v>
      </c>
      <c r="F78" s="446"/>
      <c r="G78" s="178"/>
      <c r="H78" s="759" t="s">
        <v>34</v>
      </c>
      <c r="I78" s="183">
        <f ca="1">IFERROR(__xludf.DUMMYFUNCTION("IMPORTRANGE(""https://docs.google.com/spreadsheets/d/1QqKyyYR6Q21VydFLVH3TRQUabQu_ym0Zz7PgGX0-kHA/edit?usp=sharing"",""แผน!H60"")"),0)</f>
        <v>0</v>
      </c>
      <c r="J78" s="214">
        <v>0</v>
      </c>
      <c r="K78" s="162">
        <f t="shared" ca="1" si="24"/>
        <v>0</v>
      </c>
      <c r="L78" s="162"/>
      <c r="M78" s="162"/>
      <c r="N78" s="162"/>
      <c r="O78" s="162"/>
      <c r="P78" s="162"/>
    </row>
    <row r="79" spans="1:26" ht="18.75" hidden="1">
      <c r="A79" s="169"/>
      <c r="B79" s="170"/>
      <c r="C79" s="170"/>
      <c r="D79" s="170"/>
      <c r="E79" s="177"/>
      <c r="F79" s="177"/>
      <c r="G79" s="178"/>
      <c r="H79" s="759" t="s">
        <v>35</v>
      </c>
      <c r="I79" s="183">
        <f ca="1">IFERROR(__xludf.DUMMYFUNCTION("IMPORTRANGE(""https://docs.google.com/spreadsheets/d/1QqKyyYR6Q21VydFLVH3TRQUabQu_ym0Zz7PgGX0-kHA/edit?usp=sharing"",""แผน!I60"")"),0)</f>
        <v>0</v>
      </c>
      <c r="J79" s="214">
        <v>0</v>
      </c>
      <c r="K79" s="162">
        <f t="shared" ca="1" si="24"/>
        <v>0</v>
      </c>
      <c r="L79" s="162"/>
      <c r="M79" s="162"/>
      <c r="N79" s="162"/>
      <c r="O79" s="162"/>
      <c r="P79" s="162"/>
    </row>
    <row r="80" spans="1:26" ht="18.75" hidden="1">
      <c r="A80" s="169"/>
      <c r="B80" s="170"/>
      <c r="C80" s="170"/>
      <c r="D80" s="170"/>
      <c r="E80" s="446" t="s">
        <v>41</v>
      </c>
      <c r="F80" s="446"/>
      <c r="G80" s="178"/>
      <c r="H80" s="759" t="s">
        <v>34</v>
      </c>
      <c r="I80" s="183">
        <f ca="1">IFERROR(__xludf.DUMMYFUNCTION("IMPORTRANGE(""https://docs.google.com/spreadsheets/d/1QqKyyYR6Q21VydFLVH3TRQUabQu_ym0Zz7PgGX0-kHA/edit?usp=sharing"",""แผน!F60"")"),0)</f>
        <v>0</v>
      </c>
      <c r="J80" s="214">
        <v>0</v>
      </c>
      <c r="K80" s="162">
        <f t="shared" ca="1" si="24"/>
        <v>0</v>
      </c>
      <c r="L80" s="162"/>
      <c r="M80" s="162"/>
      <c r="N80" s="162"/>
      <c r="O80" s="162"/>
      <c r="P80" s="162"/>
    </row>
    <row r="81" spans="1:26" ht="18.75" hidden="1">
      <c r="A81" s="169"/>
      <c r="B81" s="170"/>
      <c r="C81" s="170"/>
      <c r="D81" s="170"/>
      <c r="E81" s="177"/>
      <c r="F81" s="177"/>
      <c r="G81" s="178"/>
      <c r="H81" s="759" t="s">
        <v>35</v>
      </c>
      <c r="I81" s="183">
        <f ca="1">IFERROR(__xludf.DUMMYFUNCTION("IMPORTRANGE(""https://docs.google.com/spreadsheets/d/1QqKyyYR6Q21VydFLVH3TRQUabQu_ym0Zz7PgGX0-kHA/edit?usp=sharing"",""แผน!G60"")"),0)</f>
        <v>0</v>
      </c>
      <c r="J81" s="214">
        <v>0</v>
      </c>
      <c r="K81" s="162">
        <f t="shared" ca="1" si="24"/>
        <v>0</v>
      </c>
      <c r="L81" s="162"/>
      <c r="M81" s="162"/>
      <c r="N81" s="162"/>
      <c r="O81" s="162"/>
      <c r="P81" s="162"/>
    </row>
    <row r="82" spans="1:26" ht="18.75" hidden="1">
      <c r="A82" s="169"/>
      <c r="B82" s="170"/>
      <c r="C82" s="170"/>
      <c r="D82" s="170"/>
      <c r="E82" s="446" t="s">
        <v>42</v>
      </c>
      <c r="F82" s="446"/>
      <c r="G82" s="178"/>
      <c r="H82" s="759" t="s">
        <v>34</v>
      </c>
      <c r="I82" s="183">
        <f ca="1">IFERROR(__xludf.DUMMYFUNCTION("IMPORTRANGE(""https://docs.google.com/spreadsheets/d/1QqKyyYR6Q21VydFLVH3TRQUabQu_ym0Zz7PgGX0-kHA/edit?usp=sharing"",""แผน!D60"")"),0)</f>
        <v>0</v>
      </c>
      <c r="J82" s="214">
        <v>0</v>
      </c>
      <c r="K82" s="162">
        <f t="shared" ca="1" si="24"/>
        <v>0</v>
      </c>
      <c r="L82" s="162"/>
      <c r="M82" s="162"/>
      <c r="N82" s="162"/>
      <c r="O82" s="162"/>
      <c r="P82" s="162"/>
    </row>
    <row r="83" spans="1:26" ht="18.75" hidden="1">
      <c r="A83" s="169"/>
      <c r="B83" s="170"/>
      <c r="C83" s="170"/>
      <c r="D83" s="170"/>
      <c r="E83" s="177"/>
      <c r="F83" s="177"/>
      <c r="G83" s="178"/>
      <c r="H83" s="759" t="s">
        <v>35</v>
      </c>
      <c r="I83" s="183">
        <f ca="1">IFERROR(__xludf.DUMMYFUNCTION("IMPORTRANGE(""https://docs.google.com/spreadsheets/d/1QqKyyYR6Q21VydFLVH3TRQUabQu_ym0Zz7PgGX0-kHA/edit?usp=sharing"",""แผน!E60"")"),0)</f>
        <v>0</v>
      </c>
      <c r="J83" s="214">
        <v>0</v>
      </c>
      <c r="K83" s="162">
        <f t="shared" ca="1" si="24"/>
        <v>0</v>
      </c>
      <c r="L83" s="162"/>
      <c r="M83" s="162"/>
      <c r="N83" s="162"/>
      <c r="O83" s="162"/>
      <c r="P83" s="162"/>
    </row>
    <row r="84" spans="1:26" ht="18.75" hidden="1">
      <c r="A84" s="169"/>
      <c r="B84" s="170"/>
      <c r="C84" s="170"/>
      <c r="D84" s="175" t="s">
        <v>43</v>
      </c>
      <c r="E84" s="446"/>
      <c r="F84" s="177"/>
      <c r="G84" s="178"/>
      <c r="H84" s="184" t="s">
        <v>34</v>
      </c>
      <c r="I84" s="183">
        <f ca="1">IFERROR(__xludf.DUMMYFUNCTION("IMPORTRANGE(""https://docs.google.com/spreadsheets/d/1QqKyyYR6Q21VydFLVH3TRQUabQu_ym0Zz7PgGX0-kHA/edit?usp=sharing"",""แผน!J60"")"),0)</f>
        <v>0</v>
      </c>
      <c r="J84" s="214">
        <v>0</v>
      </c>
      <c r="K84" s="162">
        <f t="shared" ca="1" si="24"/>
        <v>0</v>
      </c>
      <c r="L84" s="162"/>
      <c r="M84" s="162"/>
      <c r="N84" s="162"/>
      <c r="O84" s="162"/>
      <c r="P84" s="162"/>
    </row>
    <row r="85" spans="1:26" ht="19.5">
      <c r="A85" s="130" t="s">
        <v>44</v>
      </c>
      <c r="B85" s="131"/>
      <c r="C85" s="132"/>
      <c r="D85" s="131"/>
      <c r="E85" s="131"/>
      <c r="F85" s="131"/>
      <c r="G85" s="133"/>
      <c r="H85" s="134"/>
      <c r="I85" s="135"/>
      <c r="J85" s="135"/>
      <c r="K85" s="136"/>
      <c r="L85" s="136"/>
      <c r="M85" s="136"/>
      <c r="N85" s="136"/>
      <c r="O85" s="136"/>
      <c r="P85" s="136"/>
    </row>
    <row r="86" spans="1:26" ht="19.5">
      <c r="A86" s="137"/>
      <c r="B86" s="208" t="s">
        <v>45</v>
      </c>
      <c r="C86" s="139"/>
      <c r="D86" s="140"/>
      <c r="E86" s="139"/>
      <c r="F86" s="139"/>
      <c r="G86" s="141"/>
      <c r="H86" s="204" t="s">
        <v>46</v>
      </c>
      <c r="I86" s="143">
        <f ca="1">I98</f>
        <v>30</v>
      </c>
      <c r="J86" s="143">
        <f>J98</f>
        <v>30</v>
      </c>
      <c r="K86" s="144">
        <f ca="1">IF(I86&gt;0,J86*100/I86,0)</f>
        <v>100</v>
      </c>
      <c r="L86" s="145"/>
      <c r="M86" s="145"/>
      <c r="N86" s="145"/>
      <c r="O86" s="145"/>
      <c r="P86" s="145"/>
    </row>
    <row r="87" spans="1:26" ht="19.5">
      <c r="A87" s="137"/>
      <c r="B87" s="139"/>
      <c r="C87" s="139"/>
      <c r="D87" s="140"/>
      <c r="E87" s="139"/>
      <c r="F87" s="139"/>
      <c r="G87" s="141"/>
      <c r="H87" s="204" t="s">
        <v>35</v>
      </c>
      <c r="I87" s="143">
        <f ca="1">I99</f>
        <v>10</v>
      </c>
      <c r="J87" s="143">
        <f>J99</f>
        <v>10</v>
      </c>
      <c r="K87" s="144">
        <f ca="1">IF(I87&gt;0,J87*100/I87,0)</f>
        <v>100</v>
      </c>
      <c r="L87" s="145"/>
      <c r="M87" s="145"/>
      <c r="N87" s="145"/>
      <c r="O87" s="145"/>
      <c r="P87" s="145"/>
    </row>
    <row r="88" spans="1:26" ht="19.5">
      <c r="A88" s="146"/>
      <c r="B88" s="147"/>
      <c r="C88" s="148" t="s">
        <v>16</v>
      </c>
      <c r="D88" s="855" t="s">
        <v>17</v>
      </c>
      <c r="E88" s="147"/>
      <c r="F88" s="147"/>
      <c r="G88" s="150"/>
      <c r="H88" s="151" t="s">
        <v>12</v>
      </c>
      <c r="I88" s="419"/>
      <c r="J88" s="419"/>
      <c r="K88" s="153"/>
      <c r="L88" s="154">
        <f ca="1">L89+L90</f>
        <v>199040</v>
      </c>
      <c r="M88" s="154">
        <f ca="1">M89+M90</f>
        <v>199040</v>
      </c>
      <c r="N88" s="154">
        <f ca="1">N89+N90</f>
        <v>199040</v>
      </c>
      <c r="O88" s="154">
        <f t="shared" ref="O88:O96" ca="1" si="25">IF(L88&gt;0,N88*100/L88,0)</f>
        <v>100</v>
      </c>
      <c r="P88" s="154">
        <f t="shared" ref="P88:P96" ca="1" si="26">IF(M88&gt;0,N88*100/M88,0)</f>
        <v>100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8.75" hidden="1">
      <c r="A89" s="155"/>
      <c r="B89" s="39"/>
      <c r="C89" s="39"/>
      <c r="D89" s="39"/>
      <c r="E89" s="222" t="s">
        <v>18</v>
      </c>
      <c r="F89" s="39"/>
      <c r="G89" s="156"/>
      <c r="H89" s="157" t="s">
        <v>12</v>
      </c>
      <c r="I89" s="612"/>
      <c r="J89" s="612"/>
      <c r="K89" s="92"/>
      <c r="L89" s="92">
        <f t="shared" ref="L89:N90" si="27">L92+L95</f>
        <v>0</v>
      </c>
      <c r="M89" s="92">
        <f t="shared" si="27"/>
        <v>0</v>
      </c>
      <c r="N89" s="92">
        <f t="shared" si="27"/>
        <v>0</v>
      </c>
      <c r="O89" s="92">
        <f t="shared" si="25"/>
        <v>0</v>
      </c>
      <c r="P89" s="92">
        <f t="shared" si="26"/>
        <v>0</v>
      </c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8.75" hidden="1">
      <c r="A90" s="155"/>
      <c r="B90" s="39"/>
      <c r="C90" s="39"/>
      <c r="D90" s="39"/>
      <c r="E90" s="222" t="s">
        <v>19</v>
      </c>
      <c r="F90" s="39"/>
      <c r="G90" s="156"/>
      <c r="H90" s="157" t="s">
        <v>12</v>
      </c>
      <c r="I90" s="612"/>
      <c r="J90" s="612"/>
      <c r="K90" s="92"/>
      <c r="L90" s="92">
        <f t="shared" ca="1" si="27"/>
        <v>199040</v>
      </c>
      <c r="M90" s="92">
        <f t="shared" ca="1" si="27"/>
        <v>199040</v>
      </c>
      <c r="N90" s="92">
        <f t="shared" ca="1" si="27"/>
        <v>199040</v>
      </c>
      <c r="O90" s="92">
        <f t="shared" ca="1" si="25"/>
        <v>100</v>
      </c>
      <c r="P90" s="92">
        <f t="shared" ca="1" si="26"/>
        <v>100</v>
      </c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8.75">
      <c r="A91" s="158"/>
      <c r="B91" s="32"/>
      <c r="C91" s="281"/>
      <c r="D91" s="33" t="s">
        <v>20</v>
      </c>
      <c r="E91" s="32"/>
      <c r="F91" s="32"/>
      <c r="G91" s="34"/>
      <c r="H91" s="160" t="s">
        <v>12</v>
      </c>
      <c r="I91" s="183"/>
      <c r="J91" s="183"/>
      <c r="K91" s="162"/>
      <c r="L91" s="497">
        <f ca="1">L92+L93</f>
        <v>199040</v>
      </c>
      <c r="M91" s="497">
        <f ca="1">M92+M93</f>
        <v>199040</v>
      </c>
      <c r="N91" s="497">
        <f ca="1">N92+N93</f>
        <v>199040</v>
      </c>
      <c r="O91" s="497">
        <f t="shared" ca="1" si="25"/>
        <v>100</v>
      </c>
      <c r="P91" s="497">
        <f t="shared" ca="1" si="26"/>
        <v>100</v>
      </c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9.5" hidden="1">
      <c r="A92" s="155"/>
      <c r="B92" s="39"/>
      <c r="C92" s="163"/>
      <c r="D92" s="39"/>
      <c r="E92" s="222" t="s">
        <v>36</v>
      </c>
      <c r="F92" s="39"/>
      <c r="G92" s="156"/>
      <c r="H92" s="164" t="s">
        <v>12</v>
      </c>
      <c r="I92" s="165"/>
      <c r="J92" s="165"/>
      <c r="K92" s="166"/>
      <c r="L92" s="92">
        <v>0</v>
      </c>
      <c r="M92" s="92">
        <v>0</v>
      </c>
      <c r="N92" s="92">
        <v>0</v>
      </c>
      <c r="O92" s="92">
        <f t="shared" si="25"/>
        <v>0</v>
      </c>
      <c r="P92" s="92">
        <f t="shared" si="26"/>
        <v>0</v>
      </c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9.5" hidden="1">
      <c r="A93" s="155"/>
      <c r="B93" s="39"/>
      <c r="C93" s="163"/>
      <c r="D93" s="39"/>
      <c r="E93" s="222" t="s">
        <v>37</v>
      </c>
      <c r="F93" s="39"/>
      <c r="G93" s="156"/>
      <c r="H93" s="164" t="s">
        <v>12</v>
      </c>
      <c r="I93" s="165"/>
      <c r="J93" s="165"/>
      <c r="K93" s="166"/>
      <c r="L93" s="92">
        <f ca="1">IFERROR(__xludf.DUMMYFUNCTION("IMPORTRANGE(""https://docs.google.com/spreadsheets/d/1MeEWN-I1oV_STSDYn1IFDPWt_1FKiwhDph83XaGc0o0/edit?usp=sharing"",""งบพรบ!AQ60"")"),199040)</f>
        <v>199040</v>
      </c>
      <c r="M93" s="92">
        <f ca="1">IFERROR(__xludf.DUMMYFUNCTION("IMPORTRANGE(""https://docs.google.com/spreadsheets/d/1MeEWN-I1oV_STSDYn1IFDPWt_1FKiwhDph83XaGc0o0/edit?usp=sharing"",""งบพรบ!AV60"")"),199040)</f>
        <v>199040</v>
      </c>
      <c r="N93" s="92">
        <f ca="1">IFERROR(__xludf.DUMMYFUNCTION("IMPORTRANGE(""https://docs.google.com/spreadsheets/d/1MeEWN-I1oV_STSDYn1IFDPWt_1FKiwhDph83XaGc0o0/edit?usp=sharing"",""งบพรบ!AX60"")"),199040)</f>
        <v>199040</v>
      </c>
      <c r="O93" s="92">
        <f t="shared" ca="1" si="25"/>
        <v>100</v>
      </c>
      <c r="P93" s="92">
        <f t="shared" ca="1" si="26"/>
        <v>100</v>
      </c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8.75">
      <c r="A94" s="158"/>
      <c r="B94" s="32"/>
      <c r="C94" s="281"/>
      <c r="D94" s="33" t="s">
        <v>21</v>
      </c>
      <c r="E94" s="32"/>
      <c r="F94" s="32"/>
      <c r="G94" s="34"/>
      <c r="H94" s="167" t="s">
        <v>12</v>
      </c>
      <c r="I94" s="183"/>
      <c r="J94" s="183"/>
      <c r="K94" s="162"/>
      <c r="L94" s="497">
        <f ca="1">L95+L96</f>
        <v>0</v>
      </c>
      <c r="M94" s="497">
        <f ca="1">M95+M96</f>
        <v>0</v>
      </c>
      <c r="N94" s="497">
        <f ca="1">N95+N96</f>
        <v>0</v>
      </c>
      <c r="O94" s="497">
        <f t="shared" ca="1" si="25"/>
        <v>0</v>
      </c>
      <c r="P94" s="497">
        <f t="shared" ca="1" si="26"/>
        <v>0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9.5" hidden="1">
      <c r="A95" s="155"/>
      <c r="B95" s="39"/>
      <c r="C95" s="163"/>
      <c r="D95" s="39"/>
      <c r="E95" s="222" t="s">
        <v>18</v>
      </c>
      <c r="F95" s="39"/>
      <c r="G95" s="156"/>
      <c r="H95" s="164" t="s">
        <v>12</v>
      </c>
      <c r="I95" s="165"/>
      <c r="J95" s="165"/>
      <c r="K95" s="166"/>
      <c r="L95" s="92">
        <v>0</v>
      </c>
      <c r="M95" s="92">
        <v>0</v>
      </c>
      <c r="N95" s="92">
        <v>0</v>
      </c>
      <c r="O95" s="92">
        <f t="shared" si="25"/>
        <v>0</v>
      </c>
      <c r="P95" s="92">
        <f t="shared" si="26"/>
        <v>0</v>
      </c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9.5" hidden="1">
      <c r="A96" s="155"/>
      <c r="B96" s="39"/>
      <c r="C96" s="163"/>
      <c r="D96" s="39"/>
      <c r="E96" s="222" t="s">
        <v>19</v>
      </c>
      <c r="F96" s="39"/>
      <c r="G96" s="156"/>
      <c r="H96" s="168" t="s">
        <v>12</v>
      </c>
      <c r="I96" s="165"/>
      <c r="J96" s="165"/>
      <c r="K96" s="166"/>
      <c r="L96" s="92">
        <f ca="1">IFERROR(__xludf.DUMMYFUNCTION("IMPORTRANGE(""https://docs.google.com/spreadsheets/d/1MeEWN-I1oV_STSDYn1IFDPWt_1FKiwhDph83XaGc0o0/edit?usp=sharing"",""งบพรบ!AT60"")"),0)</f>
        <v>0</v>
      </c>
      <c r="M96" s="92">
        <f ca="1">IFERROR(__xludf.DUMMYFUNCTION("IMPORTRANGE(""https://docs.google.com/spreadsheets/d/1MeEWN-I1oV_STSDYn1IFDPWt_1FKiwhDph83XaGc0o0/edit?usp=sharing"",""งบพรบ!AW60"")"),0)</f>
        <v>0</v>
      </c>
      <c r="N96" s="92">
        <f ca="1">IFERROR(__xludf.DUMMYFUNCTION("IMPORTRANGE(""https://docs.google.com/spreadsheets/d/1MeEWN-I1oV_STSDYn1IFDPWt_1FKiwhDph83XaGc0o0/edit?usp=sharing"",""งบพรบ!AY60"")"),0)</f>
        <v>0</v>
      </c>
      <c r="O96" s="92">
        <f t="shared" ca="1" si="25"/>
        <v>0</v>
      </c>
      <c r="P96" s="92">
        <f t="shared" ca="1" si="26"/>
        <v>0</v>
      </c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16" ht="19.5">
      <c r="A97" s="169"/>
      <c r="B97" s="170"/>
      <c r="C97" s="163" t="s">
        <v>16</v>
      </c>
      <c r="D97" s="856" t="s">
        <v>38</v>
      </c>
      <c r="E97" s="172"/>
      <c r="F97" s="172"/>
      <c r="G97" s="173"/>
      <c r="H97" s="757"/>
      <c r="I97" s="183"/>
      <c r="J97" s="269"/>
      <c r="K97" s="497"/>
      <c r="L97" s="497"/>
      <c r="M97" s="497"/>
      <c r="N97" s="497"/>
      <c r="O97" s="162"/>
      <c r="P97" s="162"/>
    </row>
    <row r="98" spans="1:16" ht="18.75">
      <c r="A98" s="169"/>
      <c r="B98" s="170"/>
      <c r="C98" s="170"/>
      <c r="D98" s="446" t="s">
        <v>47</v>
      </c>
      <c r="E98" s="446"/>
      <c r="F98" s="177"/>
      <c r="G98" s="178"/>
      <c r="H98" s="618" t="s">
        <v>46</v>
      </c>
      <c r="I98" s="269">
        <f ca="1">IFERROR(__xludf.DUMMYFUNCTION("IMPORTRANGE(""https://docs.google.com/spreadsheets/d/1QqKyyYR6Q21VydFLVH3TRQUabQu_ym0Zz7PgGX0-kHA/edit?usp=sharing"",""แผน!K60"")"),30)</f>
        <v>30</v>
      </c>
      <c r="J98" s="269">
        <f>J102</f>
        <v>30</v>
      </c>
      <c r="K98" s="497">
        <f ca="1">IF(I98&gt;0,J98*100/I98,0)</f>
        <v>100</v>
      </c>
      <c r="L98" s="497"/>
      <c r="M98" s="497"/>
      <c r="N98" s="497"/>
      <c r="O98" s="162"/>
      <c r="P98" s="162"/>
    </row>
    <row r="99" spans="1:16" ht="18.75">
      <c r="A99" s="169"/>
      <c r="B99" s="170"/>
      <c r="C99" s="170"/>
      <c r="D99" s="446" t="s">
        <v>48</v>
      </c>
      <c r="E99" s="446"/>
      <c r="F99" s="177"/>
      <c r="G99" s="178"/>
      <c r="H99" s="618" t="s">
        <v>35</v>
      </c>
      <c r="I99" s="269">
        <f ca="1">IFERROR(__xludf.DUMMYFUNCTION("IMPORTRANGE(""https://docs.google.com/spreadsheets/d/1QqKyyYR6Q21VydFLVH3TRQUabQu_ym0Zz7PgGX0-kHA/edit?usp=sharing"",""แผน!L60"")"),10)</f>
        <v>10</v>
      </c>
      <c r="J99" s="269">
        <f>J104</f>
        <v>10</v>
      </c>
      <c r="K99" s="497">
        <f ca="1">IF(I99&gt;0,J99*100/I99,0)</f>
        <v>100</v>
      </c>
      <c r="L99" s="497"/>
      <c r="M99" s="497"/>
      <c r="N99" s="497"/>
      <c r="O99" s="162"/>
      <c r="P99" s="162"/>
    </row>
    <row r="100" spans="1:16" ht="18.75">
      <c r="A100" s="169"/>
      <c r="B100" s="170"/>
      <c r="C100" s="170"/>
      <c r="D100" s="170"/>
      <c r="E100" s="177"/>
      <c r="F100" s="177"/>
      <c r="G100" s="178"/>
      <c r="H100" s="618" t="s">
        <v>49</v>
      </c>
      <c r="I100" s="269">
        <f ca="1">IFERROR(__xludf.DUMMYFUNCTION("IMPORTRANGE(""https://docs.google.com/spreadsheets/d/1QqKyyYR6Q21VydFLVH3TRQUabQu_ym0Zz7PgGX0-kHA/edit?usp=sharing"",""แผน!M60"")"),1)</f>
        <v>1</v>
      </c>
      <c r="J100" s="269">
        <f>J107+J110</f>
        <v>1</v>
      </c>
      <c r="K100" s="497">
        <f ca="1">IF(I100&gt;0,J100*100/I100,0)</f>
        <v>100</v>
      </c>
      <c r="L100" s="497"/>
      <c r="M100" s="497"/>
      <c r="N100" s="497"/>
      <c r="O100" s="162"/>
      <c r="P100" s="162"/>
    </row>
    <row r="101" spans="1:16" ht="19.5">
      <c r="A101" s="169"/>
      <c r="B101" s="170"/>
      <c r="C101" s="170"/>
      <c r="D101" s="177"/>
      <c r="E101" s="190" t="s">
        <v>50</v>
      </c>
      <c r="F101" s="177"/>
      <c r="G101" s="178"/>
      <c r="H101" s="618"/>
      <c r="I101" s="269"/>
      <c r="J101" s="269"/>
      <c r="K101" s="497"/>
      <c r="L101" s="497"/>
      <c r="M101" s="497"/>
      <c r="N101" s="497"/>
      <c r="O101" s="162"/>
      <c r="P101" s="162"/>
    </row>
    <row r="102" spans="1:16" ht="18.75">
      <c r="A102" s="169"/>
      <c r="B102" s="170"/>
      <c r="C102" s="170"/>
      <c r="D102" s="177"/>
      <c r="E102" s="621" t="s">
        <v>47</v>
      </c>
      <c r="F102" s="177"/>
      <c r="G102" s="178"/>
      <c r="H102" s="618" t="s">
        <v>46</v>
      </c>
      <c r="I102" s="269">
        <f ca="1">IFERROR(__xludf.DUMMYFUNCTION("IMPORTRANGE(""https://docs.google.com/spreadsheets/d/1QqKyyYR6Q21VydFLVH3TRQUabQu_ym0Zz7PgGX0-kHA/edit?usp=sharing"",""แผน!N60"")"),30)</f>
        <v>30</v>
      </c>
      <c r="J102" s="214">
        <v>30</v>
      </c>
      <c r="K102" s="497">
        <f ca="1">IF(I102&gt;0,J102*100/I102,0)</f>
        <v>100</v>
      </c>
      <c r="L102" s="497"/>
      <c r="M102" s="497"/>
      <c r="N102" s="497"/>
      <c r="O102" s="162"/>
      <c r="P102" s="162"/>
    </row>
    <row r="103" spans="1:16" ht="19.5">
      <c r="A103" s="169"/>
      <c r="B103" s="170"/>
      <c r="C103" s="170"/>
      <c r="D103" s="177"/>
      <c r="E103" s="446" t="s">
        <v>51</v>
      </c>
      <c r="F103" s="177"/>
      <c r="G103" s="178"/>
      <c r="H103" s="618" t="s">
        <v>35</v>
      </c>
      <c r="I103" s="269">
        <f ca="1">IFERROR(__xludf.DUMMYFUNCTION("IMPORTRANGE(""https://docs.google.com/spreadsheets/d/1QqKyyYR6Q21VydFLVH3TRQUabQu_ym0Zz7PgGX0-kHA/edit?usp=sharing"",""แผน!O60"")"),10)</f>
        <v>10</v>
      </c>
      <c r="J103" s="214">
        <v>10</v>
      </c>
      <c r="K103" s="497">
        <f ca="1">IF(I103&gt;0,J103*100/I103,0)</f>
        <v>100</v>
      </c>
      <c r="L103" s="497"/>
      <c r="M103" s="497"/>
      <c r="N103" s="497"/>
      <c r="O103" s="162"/>
      <c r="P103" s="162"/>
    </row>
    <row r="104" spans="1:16" ht="18.75">
      <c r="A104" s="169"/>
      <c r="B104" s="170"/>
      <c r="C104" s="170"/>
      <c r="D104" s="177"/>
      <c r="E104" s="187" t="s">
        <v>52</v>
      </c>
      <c r="F104" s="177"/>
      <c r="G104" s="178"/>
      <c r="H104" s="618" t="s">
        <v>35</v>
      </c>
      <c r="I104" s="269">
        <f ca="1">IFERROR(__xludf.DUMMYFUNCTION("IMPORTRANGE(""https://docs.google.com/spreadsheets/d/1QqKyyYR6Q21VydFLVH3TRQUabQu_ym0Zz7PgGX0-kHA/edit?usp=sharing"",""แผน!O60"")"),10)</f>
        <v>10</v>
      </c>
      <c r="J104" s="214">
        <v>10</v>
      </c>
      <c r="K104" s="497">
        <f ca="1">IF(I104&gt;0,J104*100/I104,0)</f>
        <v>100</v>
      </c>
      <c r="L104" s="497"/>
      <c r="M104" s="497"/>
      <c r="N104" s="497"/>
      <c r="O104" s="162"/>
      <c r="P104" s="162"/>
    </row>
    <row r="105" spans="1:16" ht="19.5">
      <c r="A105" s="169"/>
      <c r="B105" s="170"/>
      <c r="C105" s="170"/>
      <c r="D105" s="177"/>
      <c r="E105" s="190" t="s">
        <v>53</v>
      </c>
      <c r="F105" s="177"/>
      <c r="G105" s="178"/>
      <c r="H105" s="188"/>
      <c r="I105" s="269"/>
      <c r="J105" s="269"/>
      <c r="K105" s="497"/>
      <c r="L105" s="497"/>
      <c r="M105" s="497"/>
      <c r="N105" s="497"/>
      <c r="O105" s="162"/>
      <c r="P105" s="162"/>
    </row>
    <row r="106" spans="1:16" ht="19.5">
      <c r="A106" s="169"/>
      <c r="B106" s="170"/>
      <c r="C106" s="170"/>
      <c r="D106" s="177"/>
      <c r="E106" s="446" t="s">
        <v>54</v>
      </c>
      <c r="F106" s="177"/>
      <c r="G106" s="178"/>
      <c r="H106" s="618" t="s">
        <v>49</v>
      </c>
      <c r="I106" s="269">
        <f ca="1">IFERROR(__xludf.DUMMYFUNCTION("IMPORTRANGE(""https://docs.google.com/spreadsheets/d/1QqKyyYR6Q21VydFLVH3TRQUabQu_ym0Zz7PgGX0-kHA/edit?usp=sharing"",""แผน!P60"")"),0)</f>
        <v>0</v>
      </c>
      <c r="J106" s="214">
        <v>0</v>
      </c>
      <c r="K106" s="497">
        <f ca="1">IF(I106&gt;0,J106*100/I106,0)</f>
        <v>0</v>
      </c>
      <c r="L106" s="497"/>
      <c r="M106" s="497"/>
      <c r="N106" s="497"/>
      <c r="O106" s="162"/>
      <c r="P106" s="162"/>
    </row>
    <row r="107" spans="1:16" ht="18.75">
      <c r="A107" s="169"/>
      <c r="B107" s="170"/>
      <c r="C107" s="170"/>
      <c r="D107" s="177"/>
      <c r="E107" s="187" t="s">
        <v>55</v>
      </c>
      <c r="F107" s="177"/>
      <c r="G107" s="178"/>
      <c r="H107" s="618" t="s">
        <v>49</v>
      </c>
      <c r="I107" s="269">
        <f ca="1">IFERROR(__xludf.DUMMYFUNCTION("IMPORTRANGE(""https://docs.google.com/spreadsheets/d/1QqKyyYR6Q21VydFLVH3TRQUabQu_ym0Zz7PgGX0-kHA/edit?usp=sharing"",""แผน!P60"")"),0)</f>
        <v>0</v>
      </c>
      <c r="J107" s="214">
        <v>0</v>
      </c>
      <c r="K107" s="497">
        <f ca="1">IF(I107&gt;0,J107*100/I107,0)</f>
        <v>0</v>
      </c>
      <c r="L107" s="497"/>
      <c r="M107" s="497"/>
      <c r="N107" s="497"/>
      <c r="O107" s="162"/>
      <c r="P107" s="162"/>
    </row>
    <row r="108" spans="1:16" ht="19.5">
      <c r="A108" s="169"/>
      <c r="B108" s="170"/>
      <c r="C108" s="170"/>
      <c r="D108" s="177"/>
      <c r="E108" s="190" t="s">
        <v>56</v>
      </c>
      <c r="F108" s="177"/>
      <c r="G108" s="178"/>
      <c r="H108" s="188"/>
      <c r="I108" s="269"/>
      <c r="J108" s="269"/>
      <c r="K108" s="497"/>
      <c r="L108" s="497"/>
      <c r="M108" s="497"/>
      <c r="N108" s="497"/>
      <c r="O108" s="162"/>
      <c r="P108" s="162"/>
    </row>
    <row r="109" spans="1:16" ht="19.5">
      <c r="A109" s="169"/>
      <c r="B109" s="170"/>
      <c r="C109" s="170"/>
      <c r="D109" s="177"/>
      <c r="E109" s="446" t="s">
        <v>57</v>
      </c>
      <c r="F109" s="177"/>
      <c r="G109" s="178"/>
      <c r="H109" s="618" t="s">
        <v>49</v>
      </c>
      <c r="I109" s="269">
        <f ca="1">IFERROR(__xludf.DUMMYFUNCTION("IMPORTRANGE(""https://docs.google.com/spreadsheets/d/1QqKyyYR6Q21VydFLVH3TRQUabQu_ym0Zz7PgGX0-kHA/edit?usp=sharing"",""แผน!Q60"")"),1)</f>
        <v>1</v>
      </c>
      <c r="J109" s="214">
        <v>10</v>
      </c>
      <c r="K109" s="497">
        <f t="shared" ref="K109:K116" ca="1" si="28">IF(I109&gt;0,J109*100/I109,0)</f>
        <v>1000</v>
      </c>
      <c r="L109" s="497"/>
      <c r="M109" s="497"/>
      <c r="N109" s="497"/>
      <c r="O109" s="162"/>
      <c r="P109" s="162"/>
    </row>
    <row r="110" spans="1:16" ht="18.75">
      <c r="A110" s="169"/>
      <c r="B110" s="170"/>
      <c r="C110" s="170"/>
      <c r="D110" s="177"/>
      <c r="E110" s="189" t="s">
        <v>58</v>
      </c>
      <c r="F110" s="177"/>
      <c r="G110" s="178"/>
      <c r="H110" s="618" t="s">
        <v>49</v>
      </c>
      <c r="I110" s="269">
        <f ca="1">IFERROR(__xludf.DUMMYFUNCTION("IMPORTRANGE(""https://docs.google.com/spreadsheets/d/1QqKyyYR6Q21VydFLVH3TRQUabQu_ym0Zz7PgGX0-kHA/edit?usp=sharing"",""แผน!Q60"")"),1)</f>
        <v>1</v>
      </c>
      <c r="J110" s="214">
        <v>1</v>
      </c>
      <c r="K110" s="497">
        <f t="shared" ca="1" si="28"/>
        <v>100</v>
      </c>
      <c r="L110" s="497"/>
      <c r="M110" s="497"/>
      <c r="N110" s="497"/>
      <c r="O110" s="162"/>
      <c r="P110" s="162"/>
    </row>
    <row r="111" spans="1:16" ht="19.5">
      <c r="A111" s="169"/>
      <c r="B111" s="170"/>
      <c r="C111" s="170"/>
      <c r="D111" s="190" t="s">
        <v>59</v>
      </c>
      <c r="E111" s="190"/>
      <c r="F111" s="177"/>
      <c r="G111" s="178"/>
      <c r="H111" s="762" t="s">
        <v>35</v>
      </c>
      <c r="I111" s="192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10</v>
      </c>
      <c r="K111" s="194">
        <f t="shared" ca="1" si="28"/>
        <v>100</v>
      </c>
      <c r="L111" s="497"/>
      <c r="M111" s="497"/>
      <c r="N111" s="497"/>
      <c r="O111" s="162"/>
      <c r="P111" s="162"/>
    </row>
    <row r="112" spans="1:16" ht="19.5">
      <c r="A112" s="169"/>
      <c r="B112" s="170"/>
      <c r="C112" s="170"/>
      <c r="D112" s="170"/>
      <c r="E112" s="177"/>
      <c r="F112" s="177"/>
      <c r="G112" s="178"/>
      <c r="H112" s="195" t="s">
        <v>49</v>
      </c>
      <c r="I112" s="192">
        <f ca="1">I115+I116</f>
        <v>1</v>
      </c>
      <c r="J112" s="676">
        <f>J115+J116</f>
        <v>1</v>
      </c>
      <c r="K112" s="194">
        <f t="shared" ca="1" si="28"/>
        <v>100</v>
      </c>
      <c r="L112" s="497"/>
      <c r="M112" s="497"/>
      <c r="N112" s="497"/>
      <c r="O112" s="162"/>
      <c r="P112" s="162"/>
    </row>
    <row r="113" spans="1:26" ht="19.5">
      <c r="A113" s="169"/>
      <c r="B113" s="170"/>
      <c r="C113" s="170"/>
      <c r="D113" s="170"/>
      <c r="E113" s="527" t="s">
        <v>60</v>
      </c>
      <c r="F113" s="177"/>
      <c r="G113" s="178"/>
      <c r="H113" s="197" t="s">
        <v>35</v>
      </c>
      <c r="I113" s="183">
        <f ca="1">IFERROR(__xludf.DUMMYFUNCTION("IMPORTRANGE(""https://docs.google.com/spreadsheets/d/1QqKyyYR6Q21VydFLVH3TRQUabQu_ym0Zz7PgGX0-kHA/edit?usp=sharing"",""แผน!R60"")"),10)</f>
        <v>10</v>
      </c>
      <c r="J113" s="214">
        <v>10</v>
      </c>
      <c r="K113" s="497">
        <f t="shared" ca="1" si="28"/>
        <v>100</v>
      </c>
      <c r="L113" s="497"/>
      <c r="M113" s="497"/>
      <c r="N113" s="497"/>
      <c r="O113" s="162"/>
      <c r="P113" s="162"/>
    </row>
    <row r="114" spans="1:26" ht="19.5">
      <c r="A114" s="169"/>
      <c r="B114" s="170"/>
      <c r="C114" s="170"/>
      <c r="D114" s="170"/>
      <c r="E114" s="446" t="s">
        <v>61</v>
      </c>
      <c r="F114" s="177"/>
      <c r="G114" s="178"/>
      <c r="H114" s="198" t="s">
        <v>35</v>
      </c>
      <c r="I114" s="183">
        <f ca="1">IFERROR(__xludf.DUMMYFUNCTION("IMPORTRANGE(""https://docs.google.com/spreadsheets/d/1QqKyyYR6Q21VydFLVH3TRQUabQu_ym0Zz7PgGX0-kHA/edit?usp=sharing"",""แผน!R60"")"),10)</f>
        <v>10</v>
      </c>
      <c r="J114" s="214">
        <v>10</v>
      </c>
      <c r="K114" s="497">
        <f t="shared" ca="1" si="28"/>
        <v>100</v>
      </c>
      <c r="L114" s="497"/>
      <c r="M114" s="497"/>
      <c r="N114" s="497"/>
      <c r="O114" s="162"/>
      <c r="P114" s="162"/>
    </row>
    <row r="115" spans="1:26" ht="18.75">
      <c r="A115" s="169"/>
      <c r="B115" s="170"/>
      <c r="C115" s="170"/>
      <c r="D115" s="170"/>
      <c r="E115" s="446" t="s">
        <v>62</v>
      </c>
      <c r="F115" s="177"/>
      <c r="G115" s="178"/>
      <c r="H115" s="198" t="s">
        <v>49</v>
      </c>
      <c r="I115" s="183">
        <f ca="1">IFERROR(__xludf.DUMMYFUNCTION("IMPORTRANGE(""https://docs.google.com/spreadsheets/d/1QqKyyYR6Q21VydFLVH3TRQUabQu_ym0Zz7PgGX0-kHA/edit?usp=sharing"",""แผน!S60"")"),0)</f>
        <v>0</v>
      </c>
      <c r="J115" s="214">
        <v>0</v>
      </c>
      <c r="K115" s="497">
        <f t="shared" ca="1" si="28"/>
        <v>0</v>
      </c>
      <c r="L115" s="497"/>
      <c r="M115" s="497"/>
      <c r="N115" s="497"/>
      <c r="O115" s="162"/>
      <c r="P115" s="162"/>
    </row>
    <row r="116" spans="1:26" ht="18.75">
      <c r="A116" s="169"/>
      <c r="B116" s="170"/>
      <c r="C116" s="170"/>
      <c r="D116" s="170"/>
      <c r="E116" s="446" t="s">
        <v>63</v>
      </c>
      <c r="F116" s="177"/>
      <c r="G116" s="178"/>
      <c r="H116" s="198" t="s">
        <v>49</v>
      </c>
      <c r="I116" s="183">
        <f ca="1">IFERROR(__xludf.DUMMYFUNCTION("IMPORTRANGE(""https://docs.google.com/spreadsheets/d/1QqKyyYR6Q21VydFLVH3TRQUabQu_ym0Zz7PgGX0-kHA/edit?usp=sharing"",""แผน!T60"")"),1)</f>
        <v>1</v>
      </c>
      <c r="J116" s="214">
        <v>1</v>
      </c>
      <c r="K116" s="497">
        <f t="shared" ca="1" si="28"/>
        <v>100</v>
      </c>
      <c r="L116" s="497"/>
      <c r="M116" s="497"/>
      <c r="N116" s="497"/>
      <c r="O116" s="162"/>
      <c r="P116" s="162"/>
    </row>
    <row r="117" spans="1:26" ht="19.5" hidden="1">
      <c r="A117" s="130" t="s">
        <v>64</v>
      </c>
      <c r="B117" s="131"/>
      <c r="C117" s="199"/>
      <c r="D117" s="131"/>
      <c r="E117" s="131"/>
      <c r="F117" s="131"/>
      <c r="G117" s="131"/>
      <c r="H117" s="200"/>
      <c r="I117" s="201"/>
      <c r="J117" s="201"/>
      <c r="K117" s="202"/>
      <c r="L117" s="136"/>
      <c r="M117" s="136"/>
      <c r="N117" s="136"/>
      <c r="O117" s="136"/>
      <c r="P117" s="136"/>
    </row>
    <row r="118" spans="1:26" ht="19.5" hidden="1">
      <c r="A118" s="137"/>
      <c r="B118" s="208" t="s">
        <v>65</v>
      </c>
      <c r="C118" s="203"/>
      <c r="D118" s="140"/>
      <c r="E118" s="139"/>
      <c r="F118" s="139"/>
      <c r="G118" s="141"/>
      <c r="H118" s="204"/>
      <c r="I118" s="207">
        <v>0</v>
      </c>
      <c r="J118" s="207">
        <v>0</v>
      </c>
      <c r="K118" s="145">
        <v>0</v>
      </c>
      <c r="L118" s="145"/>
      <c r="M118" s="145"/>
      <c r="N118" s="145"/>
      <c r="O118" s="145"/>
      <c r="P118" s="145"/>
    </row>
    <row r="119" spans="1:26" ht="19.5" hidden="1">
      <c r="A119" s="146"/>
      <c r="B119" s="147"/>
      <c r="C119" s="148" t="s">
        <v>16</v>
      </c>
      <c r="D119" s="855" t="s">
        <v>17</v>
      </c>
      <c r="E119" s="147"/>
      <c r="F119" s="147"/>
      <c r="G119" s="150"/>
      <c r="H119" s="151" t="s">
        <v>12</v>
      </c>
      <c r="I119" s="419"/>
      <c r="J119" s="419"/>
      <c r="K119" s="153"/>
      <c r="L119" s="154">
        <f ca="1">L120+L121</f>
        <v>0</v>
      </c>
      <c r="M119" s="154">
        <f ca="1">M120+M121</f>
        <v>0</v>
      </c>
      <c r="N119" s="154">
        <f ca="1">N120+N121</f>
        <v>0</v>
      </c>
      <c r="O119" s="154">
        <f t="shared" ref="O119:O127" ca="1" si="29">IF(L119&gt;0,N119*100/L119,0)</f>
        <v>0</v>
      </c>
      <c r="P119" s="154">
        <f t="shared" ref="P119:P127" ca="1" si="30">IF(M119&gt;0,N119*100/M119,0)</f>
        <v>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8.75" hidden="1">
      <c r="A120" s="155"/>
      <c r="B120" s="39"/>
      <c r="C120" s="39"/>
      <c r="D120" s="39"/>
      <c r="E120" s="222" t="s">
        <v>18</v>
      </c>
      <c r="F120" s="39"/>
      <c r="G120" s="156"/>
      <c r="H120" s="157" t="s">
        <v>12</v>
      </c>
      <c r="I120" s="612"/>
      <c r="J120" s="612"/>
      <c r="K120" s="92"/>
      <c r="L120" s="92">
        <f t="shared" ref="L120:N121" si="31">L123+L126</f>
        <v>0</v>
      </c>
      <c r="M120" s="92">
        <f t="shared" si="31"/>
        <v>0</v>
      </c>
      <c r="N120" s="92">
        <f t="shared" si="31"/>
        <v>0</v>
      </c>
      <c r="O120" s="92">
        <f t="shared" si="29"/>
        <v>0</v>
      </c>
      <c r="P120" s="92">
        <f t="shared" si="30"/>
        <v>0</v>
      </c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8.75" hidden="1">
      <c r="A121" s="155"/>
      <c r="B121" s="39"/>
      <c r="C121" s="39"/>
      <c r="D121" s="39"/>
      <c r="E121" s="222" t="s">
        <v>19</v>
      </c>
      <c r="F121" s="39"/>
      <c r="G121" s="156"/>
      <c r="H121" s="157" t="s">
        <v>12</v>
      </c>
      <c r="I121" s="612"/>
      <c r="J121" s="612"/>
      <c r="K121" s="92"/>
      <c r="L121" s="92">
        <f t="shared" ca="1" si="31"/>
        <v>0</v>
      </c>
      <c r="M121" s="92">
        <f t="shared" ca="1" si="31"/>
        <v>0</v>
      </c>
      <c r="N121" s="92">
        <f t="shared" ca="1" si="31"/>
        <v>0</v>
      </c>
      <c r="O121" s="92">
        <f t="shared" ca="1" si="29"/>
        <v>0</v>
      </c>
      <c r="P121" s="92">
        <f t="shared" ca="1" si="30"/>
        <v>0</v>
      </c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8.75" hidden="1">
      <c r="A122" s="158"/>
      <c r="B122" s="32"/>
      <c r="C122" s="281"/>
      <c r="D122" s="33" t="s">
        <v>20</v>
      </c>
      <c r="E122" s="32"/>
      <c r="F122" s="32"/>
      <c r="G122" s="34"/>
      <c r="H122" s="160" t="s">
        <v>12</v>
      </c>
      <c r="I122" s="183"/>
      <c r="J122" s="183"/>
      <c r="K122" s="162"/>
      <c r="L122" s="497">
        <f ca="1">L123+L124</f>
        <v>0</v>
      </c>
      <c r="M122" s="497">
        <f ca="1">M123+M124</f>
        <v>0</v>
      </c>
      <c r="N122" s="497">
        <f ca="1">N123+N124</f>
        <v>0</v>
      </c>
      <c r="O122" s="497">
        <f t="shared" ca="1" si="29"/>
        <v>0</v>
      </c>
      <c r="P122" s="497">
        <f t="shared" ca="1" si="30"/>
        <v>0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8.75" hidden="1">
      <c r="A123" s="155"/>
      <c r="B123" s="39"/>
      <c r="C123" s="222"/>
      <c r="D123" s="39"/>
      <c r="E123" s="222" t="s">
        <v>36</v>
      </c>
      <c r="F123" s="39"/>
      <c r="G123" s="156"/>
      <c r="H123" s="164" t="s">
        <v>12</v>
      </c>
      <c r="I123" s="165"/>
      <c r="J123" s="165"/>
      <c r="K123" s="166"/>
      <c r="L123" s="92">
        <v>0</v>
      </c>
      <c r="M123" s="92">
        <v>0</v>
      </c>
      <c r="N123" s="92">
        <v>0</v>
      </c>
      <c r="O123" s="92">
        <f t="shared" si="29"/>
        <v>0</v>
      </c>
      <c r="P123" s="92">
        <f t="shared" si="30"/>
        <v>0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8.75" hidden="1">
      <c r="A124" s="155"/>
      <c r="B124" s="39"/>
      <c r="C124" s="222"/>
      <c r="D124" s="39"/>
      <c r="E124" s="222" t="s">
        <v>37</v>
      </c>
      <c r="F124" s="39"/>
      <c r="G124" s="156"/>
      <c r="H124" s="164" t="s">
        <v>12</v>
      </c>
      <c r="I124" s="165"/>
      <c r="J124" s="165"/>
      <c r="K124" s="166"/>
      <c r="L124" s="92">
        <f ca="1">IFERROR(__xludf.DUMMYFUNCTION("IMPORTRANGE(""https://docs.google.com/spreadsheets/d/1MeEWN-I1oV_STSDYn1IFDPWt_1FKiwhDph83XaGc0o0/edit?usp=sharing"",""งบพรบ!BA60"")"),0)</f>
        <v>0</v>
      </c>
      <c r="M124" s="92">
        <f ca="1">IFERROR(__xludf.DUMMYFUNCTION("IMPORTRANGE(""https://docs.google.com/spreadsheets/d/1MeEWN-I1oV_STSDYn1IFDPWt_1FKiwhDph83XaGc0o0/edit?usp=sharing"",""งบพรบ!BF60"")"),0)</f>
        <v>0</v>
      </c>
      <c r="N124" s="92">
        <f ca="1">IFERROR(__xludf.DUMMYFUNCTION("IMPORTRANGE(""https://docs.google.com/spreadsheets/d/1MeEWN-I1oV_STSDYn1IFDPWt_1FKiwhDph83XaGc0o0/edit?usp=sharing"",""งบพรบ!BH60"")"),0)</f>
        <v>0</v>
      </c>
      <c r="O124" s="92">
        <f t="shared" ca="1" si="29"/>
        <v>0</v>
      </c>
      <c r="P124" s="92">
        <f t="shared" ca="1" si="30"/>
        <v>0</v>
      </c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8.75" hidden="1">
      <c r="A125" s="158"/>
      <c r="B125" s="32"/>
      <c r="C125" s="281"/>
      <c r="D125" s="33" t="s">
        <v>21</v>
      </c>
      <c r="E125" s="32"/>
      <c r="F125" s="32"/>
      <c r="G125" s="34"/>
      <c r="H125" s="167" t="s">
        <v>12</v>
      </c>
      <c r="I125" s="183"/>
      <c r="J125" s="183"/>
      <c r="K125" s="162"/>
      <c r="L125" s="497">
        <f ca="1">L126+L127</f>
        <v>0</v>
      </c>
      <c r="M125" s="497">
        <f ca="1">M126+M127</f>
        <v>0</v>
      </c>
      <c r="N125" s="497">
        <f ca="1">N126+N127</f>
        <v>0</v>
      </c>
      <c r="O125" s="497">
        <f t="shared" ca="1" si="29"/>
        <v>0</v>
      </c>
      <c r="P125" s="497">
        <f t="shared" ca="1" si="30"/>
        <v>0</v>
      </c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9.5" hidden="1">
      <c r="A126" s="155"/>
      <c r="B126" s="39"/>
      <c r="C126" s="163"/>
      <c r="D126" s="39"/>
      <c r="E126" s="222" t="s">
        <v>18</v>
      </c>
      <c r="F126" s="39"/>
      <c r="G126" s="156"/>
      <c r="H126" s="164" t="s">
        <v>12</v>
      </c>
      <c r="I126" s="165"/>
      <c r="J126" s="165"/>
      <c r="K126" s="166"/>
      <c r="L126" s="92">
        <v>0</v>
      </c>
      <c r="M126" s="92">
        <v>0</v>
      </c>
      <c r="N126" s="92">
        <v>0</v>
      </c>
      <c r="O126" s="92">
        <f t="shared" si="29"/>
        <v>0</v>
      </c>
      <c r="P126" s="92">
        <f t="shared" si="30"/>
        <v>0</v>
      </c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9.5" hidden="1">
      <c r="A127" s="155"/>
      <c r="B127" s="39"/>
      <c r="C127" s="163"/>
      <c r="D127" s="39"/>
      <c r="E127" s="222" t="s">
        <v>19</v>
      </c>
      <c r="F127" s="39"/>
      <c r="G127" s="156"/>
      <c r="H127" s="168" t="s">
        <v>12</v>
      </c>
      <c r="I127" s="165"/>
      <c r="J127" s="165"/>
      <c r="K127" s="166"/>
      <c r="L127" s="92">
        <f ca="1">IFERROR(__xludf.DUMMYFUNCTION("IMPORTRANGE(""https://docs.google.com/spreadsheets/d/1MeEWN-I1oV_STSDYn1IFDPWt_1FKiwhDph83XaGc0o0/edit?usp=sharing"",""งบพรบ!BD60"")"),0)</f>
        <v>0</v>
      </c>
      <c r="M127" s="92">
        <f ca="1">IFERROR(__xludf.DUMMYFUNCTION("IMPORTRANGE(""https://docs.google.com/spreadsheets/d/1MeEWN-I1oV_STSDYn1IFDPWt_1FKiwhDph83XaGc0o0/edit?usp=sharing"",""งบพรบ!BG60"")"),0)</f>
        <v>0</v>
      </c>
      <c r="N127" s="92">
        <f ca="1">IFERROR(__xludf.DUMMYFUNCTION("IMPORTRANGE(""https://docs.google.com/spreadsheets/d/1MeEWN-I1oV_STSDYn1IFDPWt_1FKiwhDph83XaGc0o0/edit?usp=sharing"",""งบพรบ!BI60"")"),0)</f>
        <v>0</v>
      </c>
      <c r="O127" s="92">
        <f t="shared" ca="1" si="29"/>
        <v>0</v>
      </c>
      <c r="P127" s="92">
        <f t="shared" ca="1" si="30"/>
        <v>0</v>
      </c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9.5" hidden="1">
      <c r="A128" s="130" t="s">
        <v>67</v>
      </c>
      <c r="B128" s="131"/>
      <c r="C128" s="199"/>
      <c r="D128" s="131"/>
      <c r="E128" s="131"/>
      <c r="F128" s="131"/>
      <c r="G128" s="131"/>
      <c r="H128" s="200"/>
      <c r="I128" s="201"/>
      <c r="J128" s="201"/>
      <c r="K128" s="202"/>
      <c r="L128" s="136"/>
      <c r="M128" s="136"/>
      <c r="N128" s="136"/>
      <c r="O128" s="136"/>
      <c r="P128" s="136"/>
    </row>
    <row r="129" spans="1:26" ht="19.5" hidden="1">
      <c r="A129" s="137"/>
      <c r="B129" s="208" t="s">
        <v>68</v>
      </c>
      <c r="C129" s="203"/>
      <c r="D129" s="140"/>
      <c r="E129" s="139"/>
      <c r="F129" s="139"/>
      <c r="G129" s="139"/>
      <c r="H129" s="206"/>
      <c r="I129" s="207"/>
      <c r="J129" s="207"/>
      <c r="K129" s="145"/>
      <c r="L129" s="145"/>
      <c r="M129" s="145"/>
      <c r="N129" s="145"/>
      <c r="O129" s="145"/>
      <c r="P129" s="145"/>
    </row>
    <row r="130" spans="1:26" ht="19.5" hidden="1">
      <c r="A130" s="137"/>
      <c r="B130" s="208"/>
      <c r="C130" s="209" t="s">
        <v>69</v>
      </c>
      <c r="D130" s="140"/>
      <c r="E130" s="139"/>
      <c r="F130" s="139"/>
      <c r="G130" s="141"/>
      <c r="H130" s="204" t="s">
        <v>66</v>
      </c>
      <c r="I130" s="143">
        <f ca="1">I146</f>
        <v>0</v>
      </c>
      <c r="J130" s="143">
        <f>J146</f>
        <v>0</v>
      </c>
      <c r="K130" s="144">
        <f ca="1">IF(I130&gt;0,J130*100/I130,0)</f>
        <v>0</v>
      </c>
      <c r="L130" s="145"/>
      <c r="M130" s="145"/>
      <c r="N130" s="145"/>
      <c r="O130" s="145"/>
      <c r="P130" s="145"/>
    </row>
    <row r="131" spans="1:26" ht="19.5" hidden="1">
      <c r="A131" s="137"/>
      <c r="B131" s="208"/>
      <c r="C131" s="209" t="s">
        <v>70</v>
      </c>
      <c r="D131" s="140"/>
      <c r="E131" s="139"/>
      <c r="F131" s="139"/>
      <c r="G131" s="141"/>
      <c r="H131" s="204" t="s">
        <v>35</v>
      </c>
      <c r="I131" s="143">
        <f ca="1">I143</f>
        <v>0</v>
      </c>
      <c r="J131" s="143">
        <f ca="1">J143</f>
        <v>0</v>
      </c>
      <c r="K131" s="144">
        <f ca="1">IF(I131&gt;0,J131*100/I131,0)</f>
        <v>0</v>
      </c>
      <c r="L131" s="145"/>
      <c r="M131" s="145"/>
      <c r="N131" s="145"/>
      <c r="O131" s="145"/>
      <c r="P131" s="145"/>
    </row>
    <row r="132" spans="1:26" ht="19.5" hidden="1">
      <c r="A132" s="146"/>
      <c r="B132" s="147"/>
      <c r="C132" s="148" t="s">
        <v>16</v>
      </c>
      <c r="D132" s="855" t="s">
        <v>17</v>
      </c>
      <c r="E132" s="147"/>
      <c r="F132" s="147"/>
      <c r="G132" s="150"/>
      <c r="H132" s="151" t="s">
        <v>12</v>
      </c>
      <c r="I132" s="419"/>
      <c r="J132" s="419"/>
      <c r="K132" s="153"/>
      <c r="L132" s="154">
        <f ca="1">L133+L134</f>
        <v>0</v>
      </c>
      <c r="M132" s="154">
        <f ca="1">M133+M134</f>
        <v>0</v>
      </c>
      <c r="N132" s="154">
        <f ca="1">N133+N134</f>
        <v>0</v>
      </c>
      <c r="O132" s="154">
        <f t="shared" ref="O132:O140" ca="1" si="32">IF(L132&gt;0,N132*100/L132,0)</f>
        <v>0</v>
      </c>
      <c r="P132" s="154">
        <f t="shared" ref="P132:P140" ca="1" si="33">IF(M132&gt;0,N132*100/M132,0)</f>
        <v>0</v>
      </c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8.75" hidden="1">
      <c r="A133" s="155"/>
      <c r="B133" s="39"/>
      <c r="C133" s="39"/>
      <c r="D133" s="39"/>
      <c r="E133" s="222" t="s">
        <v>18</v>
      </c>
      <c r="F133" s="39"/>
      <c r="G133" s="156"/>
      <c r="H133" s="157" t="s">
        <v>12</v>
      </c>
      <c r="I133" s="612"/>
      <c r="J133" s="612"/>
      <c r="K133" s="92"/>
      <c r="L133" s="92">
        <f t="shared" ref="L133:N134" si="34">L136+L139</f>
        <v>0</v>
      </c>
      <c r="M133" s="92">
        <f t="shared" si="34"/>
        <v>0</v>
      </c>
      <c r="N133" s="92">
        <f t="shared" si="34"/>
        <v>0</v>
      </c>
      <c r="O133" s="92">
        <f t="shared" si="32"/>
        <v>0</v>
      </c>
      <c r="P133" s="92">
        <f t="shared" si="33"/>
        <v>0</v>
      </c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8.75" hidden="1">
      <c r="A134" s="155"/>
      <c r="B134" s="39"/>
      <c r="C134" s="39"/>
      <c r="D134" s="39"/>
      <c r="E134" s="222" t="s">
        <v>19</v>
      </c>
      <c r="F134" s="39"/>
      <c r="G134" s="156"/>
      <c r="H134" s="157" t="s">
        <v>12</v>
      </c>
      <c r="I134" s="612"/>
      <c r="J134" s="612"/>
      <c r="K134" s="92"/>
      <c r="L134" s="92">
        <f t="shared" ca="1" si="34"/>
        <v>0</v>
      </c>
      <c r="M134" s="92">
        <f t="shared" ca="1" si="34"/>
        <v>0</v>
      </c>
      <c r="N134" s="92">
        <f t="shared" ca="1" si="34"/>
        <v>0</v>
      </c>
      <c r="O134" s="92">
        <f t="shared" ca="1" si="32"/>
        <v>0</v>
      </c>
      <c r="P134" s="92">
        <f t="shared" ca="1" si="33"/>
        <v>0</v>
      </c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8.75" hidden="1">
      <c r="A135" s="158"/>
      <c r="B135" s="32"/>
      <c r="C135" s="281"/>
      <c r="D135" s="33" t="s">
        <v>20</v>
      </c>
      <c r="E135" s="32"/>
      <c r="F135" s="32"/>
      <c r="G135" s="34"/>
      <c r="H135" s="160" t="s">
        <v>12</v>
      </c>
      <c r="I135" s="183"/>
      <c r="J135" s="183"/>
      <c r="K135" s="162"/>
      <c r="L135" s="497">
        <f ca="1">L136+L137</f>
        <v>0</v>
      </c>
      <c r="M135" s="497">
        <f ca="1">M136+M137</f>
        <v>0</v>
      </c>
      <c r="N135" s="497">
        <f ca="1">N136+N137</f>
        <v>0</v>
      </c>
      <c r="O135" s="497">
        <f t="shared" ca="1" si="32"/>
        <v>0</v>
      </c>
      <c r="P135" s="497">
        <f t="shared" ca="1" si="33"/>
        <v>0</v>
      </c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9.5" hidden="1">
      <c r="A136" s="155"/>
      <c r="B136" s="39"/>
      <c r="C136" s="163"/>
      <c r="D136" s="39"/>
      <c r="E136" s="222" t="s">
        <v>36</v>
      </c>
      <c r="F136" s="39"/>
      <c r="G136" s="156"/>
      <c r="H136" s="164" t="s">
        <v>12</v>
      </c>
      <c r="I136" s="165"/>
      <c r="J136" s="165"/>
      <c r="K136" s="166"/>
      <c r="L136" s="92">
        <v>0</v>
      </c>
      <c r="M136" s="92">
        <v>0</v>
      </c>
      <c r="N136" s="92">
        <v>0</v>
      </c>
      <c r="O136" s="92">
        <f t="shared" si="32"/>
        <v>0</v>
      </c>
      <c r="P136" s="92">
        <f t="shared" si="33"/>
        <v>0</v>
      </c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9.5" hidden="1">
      <c r="A137" s="155"/>
      <c r="B137" s="39"/>
      <c r="C137" s="163"/>
      <c r="D137" s="39"/>
      <c r="E137" s="222" t="s">
        <v>37</v>
      </c>
      <c r="F137" s="39"/>
      <c r="G137" s="156"/>
      <c r="H137" s="164" t="s">
        <v>12</v>
      </c>
      <c r="I137" s="165"/>
      <c r="J137" s="165"/>
      <c r="K137" s="166"/>
      <c r="L137" s="92">
        <f ca="1">IFERROR(__xludf.DUMMYFUNCTION("IMPORTRANGE(""https://docs.google.com/spreadsheets/d/1MeEWN-I1oV_STSDYn1IFDPWt_1FKiwhDph83XaGc0o0/edit?usp=sharing"",""งบพรบ!BK60"")"),0)</f>
        <v>0</v>
      </c>
      <c r="M137" s="92">
        <f ca="1">IFERROR(__xludf.DUMMYFUNCTION("IMPORTRANGE(""https://docs.google.com/spreadsheets/d/1MeEWN-I1oV_STSDYn1IFDPWt_1FKiwhDph83XaGc0o0/edit?usp=sharing"",""งบพรบ!BP60"")"),0)</f>
        <v>0</v>
      </c>
      <c r="N137" s="92">
        <f ca="1">IFERROR(__xludf.DUMMYFUNCTION("IMPORTRANGE(""https://docs.google.com/spreadsheets/d/1MeEWN-I1oV_STSDYn1IFDPWt_1FKiwhDph83XaGc0o0/edit?usp=sharing"",""งบพรบ!BR60"")"),0)</f>
        <v>0</v>
      </c>
      <c r="O137" s="92">
        <f t="shared" ca="1" si="32"/>
        <v>0</v>
      </c>
      <c r="P137" s="92">
        <f t="shared" ca="1" si="33"/>
        <v>0</v>
      </c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8.75" hidden="1">
      <c r="A138" s="158"/>
      <c r="B138" s="32"/>
      <c r="C138" s="281"/>
      <c r="D138" s="33" t="s">
        <v>21</v>
      </c>
      <c r="E138" s="32"/>
      <c r="F138" s="32"/>
      <c r="G138" s="34"/>
      <c r="H138" s="167" t="s">
        <v>12</v>
      </c>
      <c r="I138" s="183"/>
      <c r="J138" s="183"/>
      <c r="K138" s="162"/>
      <c r="L138" s="497">
        <f ca="1">L139+L140</f>
        <v>0</v>
      </c>
      <c r="M138" s="497">
        <f ca="1">M139+M140</f>
        <v>0</v>
      </c>
      <c r="N138" s="497">
        <f ca="1">N139+N140</f>
        <v>0</v>
      </c>
      <c r="O138" s="497">
        <f t="shared" ca="1" si="32"/>
        <v>0</v>
      </c>
      <c r="P138" s="497">
        <f t="shared" ca="1" si="33"/>
        <v>0</v>
      </c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9.5" hidden="1">
      <c r="A139" s="155"/>
      <c r="B139" s="39"/>
      <c r="C139" s="163"/>
      <c r="D139" s="39"/>
      <c r="E139" s="222" t="s">
        <v>18</v>
      </c>
      <c r="F139" s="39"/>
      <c r="G139" s="156"/>
      <c r="H139" s="164" t="s">
        <v>12</v>
      </c>
      <c r="I139" s="165"/>
      <c r="J139" s="165"/>
      <c r="K139" s="166"/>
      <c r="L139" s="92">
        <v>0</v>
      </c>
      <c r="M139" s="92">
        <v>0</v>
      </c>
      <c r="N139" s="92">
        <v>0</v>
      </c>
      <c r="O139" s="92">
        <f t="shared" si="32"/>
        <v>0</v>
      </c>
      <c r="P139" s="92">
        <f t="shared" si="33"/>
        <v>0</v>
      </c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9.5" hidden="1">
      <c r="A140" s="155"/>
      <c r="B140" s="39"/>
      <c r="C140" s="163"/>
      <c r="D140" s="39"/>
      <c r="E140" s="222" t="s">
        <v>19</v>
      </c>
      <c r="F140" s="39"/>
      <c r="G140" s="156"/>
      <c r="H140" s="168" t="s">
        <v>12</v>
      </c>
      <c r="I140" s="165"/>
      <c r="J140" s="165"/>
      <c r="K140" s="166"/>
      <c r="L140" s="92">
        <f ca="1">IFERROR(__xludf.DUMMYFUNCTION("IMPORTRANGE(""https://docs.google.com/spreadsheets/d/1MeEWN-I1oV_STSDYn1IFDPWt_1FKiwhDph83XaGc0o0/edit?usp=sharing"",""งบพรบ!BN60"")"),0)</f>
        <v>0</v>
      </c>
      <c r="M140" s="92">
        <f ca="1">IFERROR(__xludf.DUMMYFUNCTION("IMPORTRANGE(""https://docs.google.com/spreadsheets/d/1MeEWN-I1oV_STSDYn1IFDPWt_1FKiwhDph83XaGc0o0/edit?usp=sharing"",""งบพรบ!BQ60"")"),0)</f>
        <v>0</v>
      </c>
      <c r="N140" s="92">
        <f ca="1">IFERROR(__xludf.DUMMYFUNCTION("IMPORTRANGE(""https://docs.google.com/spreadsheets/d/1MeEWN-I1oV_STSDYn1IFDPWt_1FKiwhDph83XaGc0o0/edit?usp=sharing"",""งบพรบ!BS60"")"),0)</f>
        <v>0</v>
      </c>
      <c r="O140" s="92">
        <f t="shared" ca="1" si="32"/>
        <v>0</v>
      </c>
      <c r="P140" s="92">
        <f t="shared" ca="1" si="33"/>
        <v>0</v>
      </c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9.5" hidden="1">
      <c r="A141" s="169"/>
      <c r="B141" s="170"/>
      <c r="C141" s="148" t="s">
        <v>16</v>
      </c>
      <c r="D141" s="856" t="s">
        <v>38</v>
      </c>
      <c r="E141" s="172"/>
      <c r="F141" s="172"/>
      <c r="G141" s="173"/>
      <c r="H141" s="167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8"/>
      <c r="B142" s="32"/>
      <c r="C142" s="210"/>
      <c r="D142" s="281" t="s">
        <v>71</v>
      </c>
      <c r="E142" s="33"/>
      <c r="F142" s="32"/>
      <c r="G142" s="213"/>
      <c r="H142" s="167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8"/>
      <c r="B143" s="32"/>
      <c r="C143" s="210"/>
      <c r="D143" s="281" t="s">
        <v>72</v>
      </c>
      <c r="E143" s="33"/>
      <c r="F143" s="32"/>
      <c r="G143" s="213"/>
      <c r="H143" s="167" t="s">
        <v>35</v>
      </c>
      <c r="I143" s="269">
        <f ca="1">I145</f>
        <v>0</v>
      </c>
      <c r="J143" s="269">
        <f ca="1">IF(AND(J144&gt;=I144,J145&gt;=I145),J145,0)</f>
        <v>0</v>
      </c>
      <c r="K143" s="497">
        <f ca="1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8"/>
      <c r="B144" s="32"/>
      <c r="C144" s="210"/>
      <c r="D144" s="177"/>
      <c r="E144" s="281" t="s">
        <v>73</v>
      </c>
      <c r="F144" s="32"/>
      <c r="G144" s="213"/>
      <c r="H144" s="167" t="s">
        <v>35</v>
      </c>
      <c r="I144" s="269">
        <f ca="1">IFERROR(__xludf.DUMMYFUNCTION("IMPORTRANGE(""https://docs.google.com/spreadsheets/d/1QqKyyYR6Q21VydFLVH3TRQUabQu_ym0Zz7PgGX0-kHA/edit?usp=sharing"",""แผน!U60"")"),0)</f>
        <v>0</v>
      </c>
      <c r="J144" s="214">
        <v>0</v>
      </c>
      <c r="K144" s="497">
        <f ca="1">IF(I144&gt;0,J144*100/I144,0)</f>
        <v>0</v>
      </c>
      <c r="L144" s="497"/>
      <c r="M144" s="497"/>
      <c r="N144" s="497"/>
      <c r="O144" s="497"/>
      <c r="P144" s="497"/>
    </row>
    <row r="145" spans="1:26" ht="19.5" hidden="1">
      <c r="A145" s="158"/>
      <c r="B145" s="32"/>
      <c r="C145" s="210"/>
      <c r="D145" s="177"/>
      <c r="E145" s="281" t="s">
        <v>74</v>
      </c>
      <c r="F145" s="32"/>
      <c r="G145" s="213"/>
      <c r="H145" s="167" t="s">
        <v>35</v>
      </c>
      <c r="I145" s="269">
        <f ca="1">IFERROR(__xludf.DUMMYFUNCTION("IMPORTRANGE(""https://docs.google.com/spreadsheets/d/1QqKyyYR6Q21VydFLVH3TRQUabQu_ym0Zz7PgGX0-kHA/edit?usp=sharing"",""แผน!V60"")"),0)</f>
        <v>0</v>
      </c>
      <c r="J145" s="214">
        <v>0</v>
      </c>
      <c r="K145" s="497">
        <f ca="1">IF(I145&gt;0,J145*100/I145,0)</f>
        <v>0</v>
      </c>
      <c r="L145" s="497"/>
      <c r="M145" s="497"/>
      <c r="N145" s="497"/>
      <c r="O145" s="497"/>
      <c r="P145" s="497"/>
    </row>
    <row r="146" spans="1:26" ht="19.5" hidden="1">
      <c r="A146" s="158"/>
      <c r="B146" s="32"/>
      <c r="C146" s="210"/>
      <c r="D146" s="281" t="s">
        <v>75</v>
      </c>
      <c r="E146" s="33"/>
      <c r="F146" s="32"/>
      <c r="G146" s="213"/>
      <c r="H146" s="167" t="s">
        <v>66</v>
      </c>
      <c r="I146" s="269">
        <f ca="1">IFERROR(__xludf.DUMMYFUNCTION("IMPORTRANGE(""https://docs.google.com/spreadsheets/d/1QqKyyYR6Q21VydFLVH3TRQUabQu_ym0Zz7PgGX0-kHA/edit?usp=sharing"",""แผน!W60"")"),0)</f>
        <v>0</v>
      </c>
      <c r="J146" s="214">
        <v>0</v>
      </c>
      <c r="K146" s="497">
        <f ca="1">IF(I146&gt;0,J146*100/I146,0)</f>
        <v>0</v>
      </c>
      <c r="L146" s="497"/>
      <c r="M146" s="497"/>
      <c r="N146" s="497"/>
      <c r="O146" s="497"/>
      <c r="P146" s="497"/>
    </row>
    <row r="147" spans="1:26" ht="19.5" hidden="1">
      <c r="A147" s="130" t="s">
        <v>76</v>
      </c>
      <c r="B147" s="131"/>
      <c r="C147" s="199"/>
      <c r="D147" s="131"/>
      <c r="E147" s="131"/>
      <c r="F147" s="131"/>
      <c r="G147" s="131"/>
      <c r="H147" s="200"/>
      <c r="I147" s="201"/>
      <c r="J147" s="201"/>
      <c r="K147" s="202"/>
      <c r="L147" s="136"/>
      <c r="M147" s="136"/>
      <c r="N147" s="136"/>
      <c r="O147" s="136"/>
      <c r="P147" s="136"/>
    </row>
    <row r="148" spans="1:26" ht="19.5" hidden="1">
      <c r="A148" s="216"/>
      <c r="B148" s="208" t="s">
        <v>77</v>
      </c>
      <c r="C148" s="208"/>
      <c r="D148" s="208"/>
      <c r="E148" s="867"/>
      <c r="F148" s="218"/>
      <c r="G148" s="219"/>
      <c r="H148" s="220" t="s">
        <v>35</v>
      </c>
      <c r="I148" s="143">
        <f ca="1">I159</f>
        <v>0</v>
      </c>
      <c r="J148" s="143">
        <f>J159</f>
        <v>0</v>
      </c>
      <c r="K148" s="144">
        <f ca="1">IF(I148&gt;0,J148*100/I148,0)</f>
        <v>0</v>
      </c>
      <c r="L148" s="144"/>
      <c r="M148" s="144"/>
      <c r="N148" s="144"/>
      <c r="O148" s="144"/>
      <c r="P148" s="144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6"/>
      <c r="B149" s="147"/>
      <c r="C149" s="148" t="s">
        <v>16</v>
      </c>
      <c r="D149" s="855" t="s">
        <v>17</v>
      </c>
      <c r="E149" s="147"/>
      <c r="F149" s="147"/>
      <c r="G149" s="150"/>
      <c r="H149" s="151" t="s">
        <v>12</v>
      </c>
      <c r="I149" s="419"/>
      <c r="J149" s="419"/>
      <c r="K149" s="153"/>
      <c r="L149" s="154">
        <f ca="1">L150+L151</f>
        <v>0</v>
      </c>
      <c r="M149" s="154">
        <f ca="1">M150+M151</f>
        <v>0</v>
      </c>
      <c r="N149" s="154">
        <f ca="1">N150+N151</f>
        <v>0</v>
      </c>
      <c r="O149" s="154">
        <f t="shared" ref="O149:O157" ca="1" si="35">IF(L149&gt;0,N149*100/L149,0)</f>
        <v>0</v>
      </c>
      <c r="P149" s="154">
        <f t="shared" ref="P149:P157" ca="1" si="36">IF(M149&gt;0,N149*100/M149,0)</f>
        <v>0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8.75" hidden="1">
      <c r="A150" s="155"/>
      <c r="B150" s="39"/>
      <c r="C150" s="39"/>
      <c r="D150" s="39"/>
      <c r="E150" s="222" t="s">
        <v>18</v>
      </c>
      <c r="F150" s="39"/>
      <c r="G150" s="156"/>
      <c r="H150" s="157" t="s">
        <v>12</v>
      </c>
      <c r="I150" s="612"/>
      <c r="J150" s="612"/>
      <c r="K150" s="92"/>
      <c r="L150" s="92">
        <f t="shared" ref="L150:N151" si="37">L153+L156</f>
        <v>0</v>
      </c>
      <c r="M150" s="92">
        <f t="shared" si="37"/>
        <v>0</v>
      </c>
      <c r="N150" s="92">
        <f t="shared" si="37"/>
        <v>0</v>
      </c>
      <c r="O150" s="92">
        <f t="shared" si="35"/>
        <v>0</v>
      </c>
      <c r="P150" s="92">
        <f t="shared" si="36"/>
        <v>0</v>
      </c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8.75" hidden="1">
      <c r="A151" s="155"/>
      <c r="B151" s="39"/>
      <c r="C151" s="39"/>
      <c r="D151" s="39"/>
      <c r="E151" s="222" t="s">
        <v>19</v>
      </c>
      <c r="F151" s="39"/>
      <c r="G151" s="156"/>
      <c r="H151" s="157" t="s">
        <v>12</v>
      </c>
      <c r="I151" s="612"/>
      <c r="J151" s="612"/>
      <c r="K151" s="92"/>
      <c r="L151" s="92">
        <f t="shared" ca="1" si="37"/>
        <v>0</v>
      </c>
      <c r="M151" s="92">
        <f t="shared" ca="1" si="37"/>
        <v>0</v>
      </c>
      <c r="N151" s="92">
        <f t="shared" ca="1" si="37"/>
        <v>0</v>
      </c>
      <c r="O151" s="92">
        <f t="shared" ca="1" si="35"/>
        <v>0</v>
      </c>
      <c r="P151" s="92">
        <f t="shared" ca="1" si="36"/>
        <v>0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8.75" hidden="1">
      <c r="A152" s="158"/>
      <c r="B152" s="32"/>
      <c r="C152" s="281"/>
      <c r="D152" s="33" t="s">
        <v>20</v>
      </c>
      <c r="E152" s="32"/>
      <c r="F152" s="32"/>
      <c r="G152" s="34"/>
      <c r="H152" s="160" t="s">
        <v>12</v>
      </c>
      <c r="I152" s="183"/>
      <c r="J152" s="183"/>
      <c r="K152" s="162"/>
      <c r="L152" s="497">
        <f ca="1">L153+L154</f>
        <v>0</v>
      </c>
      <c r="M152" s="497">
        <f ca="1">M153+M154</f>
        <v>0</v>
      </c>
      <c r="N152" s="497">
        <f ca="1">N153+N154</f>
        <v>0</v>
      </c>
      <c r="O152" s="497">
        <f t="shared" ca="1" si="35"/>
        <v>0</v>
      </c>
      <c r="P152" s="497">
        <f t="shared" ca="1" si="36"/>
        <v>0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9.5" hidden="1">
      <c r="A153" s="155"/>
      <c r="B153" s="39"/>
      <c r="C153" s="163"/>
      <c r="D153" s="39"/>
      <c r="E153" s="222" t="s">
        <v>36</v>
      </c>
      <c r="F153" s="39"/>
      <c r="G153" s="156"/>
      <c r="H153" s="164" t="s">
        <v>12</v>
      </c>
      <c r="I153" s="165"/>
      <c r="J153" s="165"/>
      <c r="K153" s="166"/>
      <c r="L153" s="92">
        <v>0</v>
      </c>
      <c r="M153" s="92">
        <v>0</v>
      </c>
      <c r="N153" s="92">
        <v>0</v>
      </c>
      <c r="O153" s="92">
        <f t="shared" si="35"/>
        <v>0</v>
      </c>
      <c r="P153" s="92">
        <f t="shared" si="36"/>
        <v>0</v>
      </c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9.5" hidden="1">
      <c r="A154" s="155"/>
      <c r="B154" s="39"/>
      <c r="C154" s="163"/>
      <c r="D154" s="39"/>
      <c r="E154" s="222" t="s">
        <v>37</v>
      </c>
      <c r="F154" s="39"/>
      <c r="G154" s="156"/>
      <c r="H154" s="164" t="s">
        <v>12</v>
      </c>
      <c r="I154" s="165"/>
      <c r="J154" s="165"/>
      <c r="K154" s="166"/>
      <c r="L154" s="92">
        <f ca="1">IFERROR(__xludf.DUMMYFUNCTION("IMPORTRANGE(""https://docs.google.com/spreadsheets/d/1MeEWN-I1oV_STSDYn1IFDPWt_1FKiwhDph83XaGc0o0/edit?usp=sharing"",""งบพรบ!BU60"")"),0)</f>
        <v>0</v>
      </c>
      <c r="M154" s="92">
        <f ca="1">IFERROR(__xludf.DUMMYFUNCTION("IMPORTRANGE(""https://docs.google.com/spreadsheets/d/1MeEWN-I1oV_STSDYn1IFDPWt_1FKiwhDph83XaGc0o0/edit?usp=sharing"",""งบพรบ!BZ60"")"),0)</f>
        <v>0</v>
      </c>
      <c r="N154" s="92">
        <f ca="1">IFERROR(__xludf.DUMMYFUNCTION("IMPORTRANGE(""https://docs.google.com/spreadsheets/d/1MeEWN-I1oV_STSDYn1IFDPWt_1FKiwhDph83XaGc0o0/edit?usp=sharing"",""งบพรบ!CB60"")"),0)</f>
        <v>0</v>
      </c>
      <c r="O154" s="92">
        <f t="shared" ca="1" si="35"/>
        <v>0</v>
      </c>
      <c r="P154" s="92">
        <f t="shared" ca="1" si="36"/>
        <v>0</v>
      </c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8.75" hidden="1">
      <c r="A155" s="158"/>
      <c r="B155" s="32"/>
      <c r="C155" s="281"/>
      <c r="D155" s="33" t="s">
        <v>21</v>
      </c>
      <c r="E155" s="32"/>
      <c r="F155" s="32"/>
      <c r="G155" s="34"/>
      <c r="H155" s="167" t="s">
        <v>12</v>
      </c>
      <c r="I155" s="183"/>
      <c r="J155" s="183"/>
      <c r="K155" s="162"/>
      <c r="L155" s="497">
        <f ca="1">L156+L157</f>
        <v>0</v>
      </c>
      <c r="M155" s="497">
        <f ca="1">M156+M157</f>
        <v>0</v>
      </c>
      <c r="N155" s="497">
        <f ca="1">N156+N157</f>
        <v>0</v>
      </c>
      <c r="O155" s="497">
        <f t="shared" ca="1" si="35"/>
        <v>0</v>
      </c>
      <c r="P155" s="497">
        <f t="shared" ca="1" si="36"/>
        <v>0</v>
      </c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9.5" hidden="1">
      <c r="A156" s="155"/>
      <c r="B156" s="39"/>
      <c r="C156" s="163"/>
      <c r="D156" s="39"/>
      <c r="E156" s="222" t="s">
        <v>18</v>
      </c>
      <c r="F156" s="39"/>
      <c r="G156" s="156"/>
      <c r="H156" s="164" t="s">
        <v>12</v>
      </c>
      <c r="I156" s="165"/>
      <c r="J156" s="165"/>
      <c r="K156" s="166"/>
      <c r="L156" s="92">
        <v>0</v>
      </c>
      <c r="M156" s="92">
        <v>0</v>
      </c>
      <c r="N156" s="92">
        <v>0</v>
      </c>
      <c r="O156" s="92">
        <f t="shared" si="35"/>
        <v>0</v>
      </c>
      <c r="P156" s="92">
        <f t="shared" si="36"/>
        <v>0</v>
      </c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9.5" hidden="1">
      <c r="A157" s="155"/>
      <c r="B157" s="39"/>
      <c r="C157" s="163"/>
      <c r="D157" s="39"/>
      <c r="E157" s="222" t="s">
        <v>19</v>
      </c>
      <c r="F157" s="39"/>
      <c r="G157" s="156"/>
      <c r="H157" s="168" t="s">
        <v>12</v>
      </c>
      <c r="I157" s="165"/>
      <c r="J157" s="165"/>
      <c r="K157" s="166"/>
      <c r="L157" s="92">
        <f ca="1">IFERROR(__xludf.DUMMYFUNCTION("IMPORTRANGE(""https://docs.google.com/spreadsheets/d/1MeEWN-I1oV_STSDYn1IFDPWt_1FKiwhDph83XaGc0o0/edit?usp=sharing"",""งบพรบ!BX60"")"),0)</f>
        <v>0</v>
      </c>
      <c r="M157" s="92">
        <f ca="1">IFERROR(__xludf.DUMMYFUNCTION("IMPORTRANGE(""https://docs.google.com/spreadsheets/d/1MeEWN-I1oV_STSDYn1IFDPWt_1FKiwhDph83XaGc0o0/edit?usp=sharing"",""งบพรบ!CA60"")"),0)</f>
        <v>0</v>
      </c>
      <c r="N157" s="92">
        <f ca="1">IFERROR(__xludf.DUMMYFUNCTION("IMPORTRANGE(""https://docs.google.com/spreadsheets/d/1MeEWN-I1oV_STSDYn1IFDPWt_1FKiwhDph83XaGc0o0/edit?usp=sharing"",""งบพรบ!CC60"")"),0)</f>
        <v>0</v>
      </c>
      <c r="O157" s="92">
        <f t="shared" ca="1" si="35"/>
        <v>0</v>
      </c>
      <c r="P157" s="92">
        <f t="shared" ca="1" si="36"/>
        <v>0</v>
      </c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9.5" hidden="1">
      <c r="A158" s="169"/>
      <c r="B158" s="170"/>
      <c r="C158" s="163" t="s">
        <v>16</v>
      </c>
      <c r="D158" s="856" t="s">
        <v>38</v>
      </c>
      <c r="E158" s="172"/>
      <c r="F158" s="172"/>
      <c r="G158" s="173"/>
      <c r="H158" s="167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8"/>
      <c r="B159" s="32"/>
      <c r="C159" s="210"/>
      <c r="D159" s="281" t="s">
        <v>78</v>
      </c>
      <c r="E159" s="33"/>
      <c r="F159" s="32"/>
      <c r="G159" s="213"/>
      <c r="H159" s="167" t="s">
        <v>35</v>
      </c>
      <c r="I159" s="269">
        <f ca="1">IFERROR(__xludf.DUMMYFUNCTION("IMPORTRANGE(""https://docs.google.com/spreadsheets/d/1QqKyyYR6Q21VydFLVH3TRQUabQu_ym0Zz7PgGX0-kHA/edit?usp=sharing"",""แผน!X60"")"),0)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5"/>
      <c r="B160" s="39"/>
      <c r="C160" s="163"/>
      <c r="D160" s="222" t="s">
        <v>79</v>
      </c>
      <c r="E160" s="223"/>
      <c r="F160" s="39"/>
      <c r="G160" s="156"/>
      <c r="H160" s="168" t="s">
        <v>35</v>
      </c>
      <c r="I160" s="612"/>
      <c r="J160" s="612"/>
      <c r="K160" s="92"/>
      <c r="L160" s="92"/>
      <c r="M160" s="92"/>
      <c r="N160" s="92"/>
      <c r="O160" s="92"/>
      <c r="P160" s="92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66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2"/>
      <c r="E164" s="172"/>
      <c r="F164" s="172"/>
      <c r="G164" s="173"/>
      <c r="H164" s="251" t="s">
        <v>35</v>
      </c>
      <c r="I164" s="252">
        <f ca="1">I174+I177</f>
        <v>11</v>
      </c>
      <c r="J164" s="252">
        <f>J174+J177</f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6"/>
      <c r="B165" s="147"/>
      <c r="C165" s="148" t="s">
        <v>16</v>
      </c>
      <c r="D165" s="855" t="s">
        <v>17</v>
      </c>
      <c r="E165" s="147"/>
      <c r="F165" s="147"/>
      <c r="G165" s="150"/>
      <c r="H165" s="151" t="s">
        <v>12</v>
      </c>
      <c r="I165" s="419"/>
      <c r="J165" s="419"/>
      <c r="K165" s="153"/>
      <c r="L165" s="154">
        <f ca="1">L166+L167</f>
        <v>22055</v>
      </c>
      <c r="M165" s="154">
        <f ca="1">M166+M167</f>
        <v>45155</v>
      </c>
      <c r="N165" s="154">
        <f ca="1">N166+N167</f>
        <v>45155</v>
      </c>
      <c r="O165" s="154">
        <f t="shared" ref="O165:O173" ca="1" si="38">IF(L165&gt;0,N165*100/L165,0)</f>
        <v>204.73815461346632</v>
      </c>
      <c r="P165" s="154">
        <f t="shared" ref="P165:P173" ca="1" si="39">IF(M165&gt;0,N165*100/M165,0)</f>
        <v>100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8.75" hidden="1">
      <c r="A166" s="155"/>
      <c r="B166" s="39"/>
      <c r="C166" s="39"/>
      <c r="D166" s="39"/>
      <c r="E166" s="222" t="s">
        <v>18</v>
      </c>
      <c r="F166" s="39"/>
      <c r="G166" s="156"/>
      <c r="H166" s="157" t="s">
        <v>12</v>
      </c>
      <c r="I166" s="612"/>
      <c r="J166" s="612"/>
      <c r="K166" s="92"/>
      <c r="L166" s="92">
        <f t="shared" ref="L166:N167" si="40">L169+L172</f>
        <v>0</v>
      </c>
      <c r="M166" s="92">
        <f t="shared" si="40"/>
        <v>0</v>
      </c>
      <c r="N166" s="92">
        <f t="shared" si="40"/>
        <v>0</v>
      </c>
      <c r="O166" s="92">
        <f t="shared" si="38"/>
        <v>0</v>
      </c>
      <c r="P166" s="92">
        <f t="shared" si="39"/>
        <v>0</v>
      </c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8.75" hidden="1">
      <c r="A167" s="155"/>
      <c r="B167" s="39"/>
      <c r="C167" s="39"/>
      <c r="D167" s="39"/>
      <c r="E167" s="222" t="s">
        <v>19</v>
      </c>
      <c r="F167" s="39"/>
      <c r="G167" s="156"/>
      <c r="H167" s="157" t="s">
        <v>12</v>
      </c>
      <c r="I167" s="612"/>
      <c r="J167" s="612"/>
      <c r="K167" s="92"/>
      <c r="L167" s="92">
        <f t="shared" ca="1" si="40"/>
        <v>22055</v>
      </c>
      <c r="M167" s="92">
        <f t="shared" ca="1" si="40"/>
        <v>45155</v>
      </c>
      <c r="N167" s="92">
        <f t="shared" ca="1" si="40"/>
        <v>45155</v>
      </c>
      <c r="O167" s="92">
        <f t="shared" ca="1" si="38"/>
        <v>204.73815461346632</v>
      </c>
      <c r="P167" s="92">
        <f t="shared" ca="1" si="39"/>
        <v>100</v>
      </c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8.75">
      <c r="A168" s="158"/>
      <c r="B168" s="32"/>
      <c r="C168" s="281"/>
      <c r="D168" s="33" t="s">
        <v>20</v>
      </c>
      <c r="E168" s="32"/>
      <c r="F168" s="32"/>
      <c r="G168" s="34"/>
      <c r="H168" s="160" t="s">
        <v>12</v>
      </c>
      <c r="I168" s="183"/>
      <c r="J168" s="183"/>
      <c r="K168" s="162"/>
      <c r="L168" s="497">
        <f ca="1">L169+L170</f>
        <v>22055</v>
      </c>
      <c r="M168" s="497">
        <f ca="1">M169+M170</f>
        <v>45155</v>
      </c>
      <c r="N168" s="497">
        <f ca="1">N169+N170</f>
        <v>45155</v>
      </c>
      <c r="O168" s="497">
        <f t="shared" ca="1" si="38"/>
        <v>204.73815461346632</v>
      </c>
      <c r="P168" s="497">
        <f t="shared" ca="1" si="39"/>
        <v>100</v>
      </c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9.5" hidden="1">
      <c r="A169" s="155"/>
      <c r="B169" s="39"/>
      <c r="C169" s="163"/>
      <c r="D169" s="39"/>
      <c r="E169" s="222" t="s">
        <v>36</v>
      </c>
      <c r="F169" s="39"/>
      <c r="G169" s="156"/>
      <c r="H169" s="164" t="s">
        <v>12</v>
      </c>
      <c r="I169" s="165"/>
      <c r="J169" s="165"/>
      <c r="K169" s="166"/>
      <c r="L169" s="92">
        <v>0</v>
      </c>
      <c r="M169" s="92">
        <v>0</v>
      </c>
      <c r="N169" s="92">
        <v>0</v>
      </c>
      <c r="O169" s="92">
        <f t="shared" si="38"/>
        <v>0</v>
      </c>
      <c r="P169" s="92">
        <f t="shared" si="39"/>
        <v>0</v>
      </c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9.5" hidden="1">
      <c r="A170" s="155"/>
      <c r="B170" s="39"/>
      <c r="C170" s="163"/>
      <c r="D170" s="39"/>
      <c r="E170" s="222" t="s">
        <v>37</v>
      </c>
      <c r="F170" s="39"/>
      <c r="G170" s="156"/>
      <c r="H170" s="164" t="s">
        <v>12</v>
      </c>
      <c r="I170" s="165"/>
      <c r="J170" s="165"/>
      <c r="K170" s="166"/>
      <c r="L170" s="92">
        <f ca="1">IFERROR(__xludf.DUMMYFUNCTION("IMPORTRANGE(""https://docs.google.com/spreadsheets/d/1MeEWN-I1oV_STSDYn1IFDPWt_1FKiwhDph83XaGc0o0/edit?usp=sharing"",""งบพรบ!CE60"")"),22055)</f>
        <v>22055</v>
      </c>
      <c r="M170" s="92">
        <f ca="1">IFERROR(__xludf.DUMMYFUNCTION("IMPORTRANGE(""https://docs.google.com/spreadsheets/d/1MeEWN-I1oV_STSDYn1IFDPWt_1FKiwhDph83XaGc0o0/edit?usp=sharing"",""งบพรบ!CJ60"")"),45155)</f>
        <v>45155</v>
      </c>
      <c r="N170" s="92">
        <f ca="1">IFERROR(__xludf.DUMMYFUNCTION("IMPORTRANGE(""https://docs.google.com/spreadsheets/d/1MeEWN-I1oV_STSDYn1IFDPWt_1FKiwhDph83XaGc0o0/edit?usp=sharing"",""งบพรบ!CL60"")"),45155)</f>
        <v>45155</v>
      </c>
      <c r="O170" s="92">
        <f t="shared" ca="1" si="38"/>
        <v>204.73815461346632</v>
      </c>
      <c r="P170" s="92">
        <f t="shared" ca="1" si="39"/>
        <v>100</v>
      </c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8.75">
      <c r="A171" s="158"/>
      <c r="B171" s="32"/>
      <c r="C171" s="281"/>
      <c r="D171" s="33" t="s">
        <v>21</v>
      </c>
      <c r="E171" s="32"/>
      <c r="F171" s="32"/>
      <c r="G171" s="34"/>
      <c r="H171" s="167" t="s">
        <v>12</v>
      </c>
      <c r="I171" s="183"/>
      <c r="J171" s="183"/>
      <c r="K171" s="162"/>
      <c r="L171" s="497">
        <f ca="1">L172+L173</f>
        <v>0</v>
      </c>
      <c r="M171" s="497">
        <f ca="1">M172+M173</f>
        <v>0</v>
      </c>
      <c r="N171" s="497">
        <f ca="1">N172+N173</f>
        <v>0</v>
      </c>
      <c r="O171" s="497">
        <f t="shared" ca="1" si="38"/>
        <v>0</v>
      </c>
      <c r="P171" s="497">
        <f t="shared" ca="1" si="39"/>
        <v>0</v>
      </c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9.5" hidden="1">
      <c r="A172" s="155"/>
      <c r="B172" s="39"/>
      <c r="C172" s="163"/>
      <c r="D172" s="39"/>
      <c r="E172" s="222" t="s">
        <v>18</v>
      </c>
      <c r="F172" s="39"/>
      <c r="G172" s="156"/>
      <c r="H172" s="164" t="s">
        <v>12</v>
      </c>
      <c r="I172" s="165"/>
      <c r="J172" s="165"/>
      <c r="K172" s="166"/>
      <c r="L172" s="92">
        <v>0</v>
      </c>
      <c r="M172" s="92">
        <v>0</v>
      </c>
      <c r="N172" s="92">
        <v>0</v>
      </c>
      <c r="O172" s="92">
        <f t="shared" si="38"/>
        <v>0</v>
      </c>
      <c r="P172" s="92">
        <f t="shared" si="39"/>
        <v>0</v>
      </c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9.5" hidden="1">
      <c r="A173" s="155"/>
      <c r="B173" s="39"/>
      <c r="C173" s="163"/>
      <c r="D173" s="39"/>
      <c r="E173" s="222" t="s">
        <v>19</v>
      </c>
      <c r="F173" s="39"/>
      <c r="G173" s="156"/>
      <c r="H173" s="168" t="s">
        <v>12</v>
      </c>
      <c r="I173" s="165"/>
      <c r="J173" s="165"/>
      <c r="K173" s="166"/>
      <c r="L173" s="92">
        <f ca="1">IFERROR(__xludf.DUMMYFUNCTION("IMPORTRANGE(""https://docs.google.com/spreadsheets/d/1MeEWN-I1oV_STSDYn1IFDPWt_1FKiwhDph83XaGc0o0/edit?usp=sharing"",""งบพรบ!CH60"")"),0)</f>
        <v>0</v>
      </c>
      <c r="M173" s="92">
        <f ca="1">IFERROR(__xludf.DUMMYFUNCTION("IMPORTRANGE(""https://docs.google.com/spreadsheets/d/1MeEWN-I1oV_STSDYn1IFDPWt_1FKiwhDph83XaGc0o0/edit?usp=sharing"",""งบพรบ!CK60"")"),0)</f>
        <v>0</v>
      </c>
      <c r="N173" s="92">
        <f ca="1">IFERROR(__xludf.DUMMYFUNCTION("IMPORTRANGE(""https://docs.google.com/spreadsheets/d/1MeEWN-I1oV_STSDYn1IFDPWt_1FKiwhDph83XaGc0o0/edit?usp=sharing"",""งบพรบ!CM60"")"),0)</f>
        <v>0</v>
      </c>
      <c r="O173" s="92">
        <f t="shared" ca="1" si="38"/>
        <v>0</v>
      </c>
      <c r="P173" s="92">
        <f t="shared" ca="1" si="39"/>
        <v>0</v>
      </c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ca="1">I176</f>
        <v>11</v>
      </c>
      <c r="J174" s="260">
        <f>J176</f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69"/>
      <c r="B175" s="170"/>
      <c r="C175" s="163" t="s">
        <v>16</v>
      </c>
      <c r="D175" s="856" t="s">
        <v>38</v>
      </c>
      <c r="E175" s="172"/>
      <c r="F175" s="172"/>
      <c r="G175" s="173"/>
      <c r="H175" s="757"/>
      <c r="I175" s="183"/>
      <c r="J175" s="183"/>
      <c r="K175" s="162"/>
      <c r="L175" s="162"/>
      <c r="M175" s="162"/>
      <c r="N175" s="162"/>
      <c r="O175" s="162"/>
      <c r="P175" s="162"/>
    </row>
    <row r="176" spans="1:26" ht="18.75">
      <c r="A176" s="169"/>
      <c r="B176" s="170"/>
      <c r="C176" s="170"/>
      <c r="D176" s="741" t="s">
        <v>85</v>
      </c>
      <c r="E176" s="177"/>
      <c r="F176" s="177"/>
      <c r="G176" s="178"/>
      <c r="H176" s="618" t="s">
        <v>35</v>
      </c>
      <c r="I176" s="269">
        <f ca="1">IFERROR(__xludf.DUMMYFUNCTION("IMPORTRANGE(""https://docs.google.com/spreadsheets/d/1QqKyyYR6Q21VydFLVH3TRQUabQu_ym0Zz7PgGX0-kHA/edit?usp=sharing"",""แผน!Y60"")"),11)</f>
        <v>11</v>
      </c>
      <c r="J176" s="214">
        <v>11</v>
      </c>
      <c r="K176" s="162">
        <f ca="1">IF(I176&gt;0,J176*100/I176,0)</f>
        <v>100</v>
      </c>
      <c r="L176" s="162"/>
      <c r="M176" s="162"/>
      <c r="N176" s="162"/>
      <c r="O176" s="162"/>
      <c r="P176" s="162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69"/>
      <c r="B178" s="170"/>
      <c r="C178" s="163" t="s">
        <v>16</v>
      </c>
      <c r="D178" s="266" t="s">
        <v>38</v>
      </c>
      <c r="E178" s="172"/>
      <c r="F178" s="172"/>
      <c r="G178" s="173"/>
      <c r="H178" s="757"/>
      <c r="I178" s="183"/>
      <c r="J178" s="183"/>
      <c r="K178" s="162"/>
      <c r="L178" s="162"/>
      <c r="M178" s="162"/>
      <c r="N178" s="162"/>
      <c r="O178" s="162"/>
      <c r="P178" s="162"/>
    </row>
    <row r="179" spans="1:26" ht="18.75" hidden="1">
      <c r="A179" s="169"/>
      <c r="B179" s="170"/>
      <c r="C179" s="170"/>
      <c r="D179" s="373" t="s">
        <v>87</v>
      </c>
      <c r="E179" s="177"/>
      <c r="F179" s="366"/>
      <c r="G179" s="178"/>
      <c r="H179" s="42" t="s">
        <v>35</v>
      </c>
      <c r="I179" s="269"/>
      <c r="J179" s="269"/>
      <c r="K179" s="162"/>
      <c r="L179" s="162"/>
      <c r="M179" s="162"/>
      <c r="N179" s="162"/>
      <c r="O179" s="162"/>
      <c r="P179" s="162"/>
    </row>
    <row r="180" spans="1:26" ht="19.5">
      <c r="A180" s="248"/>
      <c r="B180" s="249" t="s">
        <v>88</v>
      </c>
      <c r="C180" s="250"/>
      <c r="D180" s="172"/>
      <c r="E180" s="172"/>
      <c r="F180" s="172"/>
      <c r="G180" s="173"/>
      <c r="H180" s="251" t="s">
        <v>35</v>
      </c>
      <c r="I180" s="252">
        <f ca="1">I225+I226</f>
        <v>15</v>
      </c>
      <c r="J180" s="252">
        <f>J225+J226</f>
        <v>15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6"/>
      <c r="B181" s="147"/>
      <c r="C181" s="148" t="s">
        <v>16</v>
      </c>
      <c r="D181" s="855" t="s">
        <v>17</v>
      </c>
      <c r="E181" s="147"/>
      <c r="F181" s="147"/>
      <c r="G181" s="150"/>
      <c r="H181" s="151" t="s">
        <v>12</v>
      </c>
      <c r="I181" s="419"/>
      <c r="J181" s="419"/>
      <c r="K181" s="153"/>
      <c r="L181" s="154">
        <f ca="1">L182+L183</f>
        <v>449450</v>
      </c>
      <c r="M181" s="154">
        <f ca="1">M182+M183</f>
        <v>455670</v>
      </c>
      <c r="N181" s="154">
        <f ca="1">N182+N183</f>
        <v>455670</v>
      </c>
      <c r="O181" s="154">
        <f t="shared" ref="O181:O189" ca="1" si="41">IF(L181&gt;0,N181*100/L181,0)</f>
        <v>101.3839136722661</v>
      </c>
      <c r="P181" s="154">
        <f t="shared" ref="P181:P189" ca="1" si="42">IF(M181&gt;0,N181*100/M181,0)</f>
        <v>100</v>
      </c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8.75" hidden="1">
      <c r="A182" s="155"/>
      <c r="B182" s="39"/>
      <c r="C182" s="39"/>
      <c r="D182" s="39"/>
      <c r="E182" s="222" t="s">
        <v>18</v>
      </c>
      <c r="F182" s="39"/>
      <c r="G182" s="156"/>
      <c r="H182" s="157" t="s">
        <v>12</v>
      </c>
      <c r="I182" s="612"/>
      <c r="J182" s="612"/>
      <c r="K182" s="92"/>
      <c r="L182" s="92">
        <f t="shared" ref="L182:N183" si="43">L185+L188</f>
        <v>0</v>
      </c>
      <c r="M182" s="92">
        <f t="shared" si="43"/>
        <v>0</v>
      </c>
      <c r="N182" s="92">
        <f t="shared" si="43"/>
        <v>0</v>
      </c>
      <c r="O182" s="92">
        <f t="shared" si="41"/>
        <v>0</v>
      </c>
      <c r="P182" s="92">
        <f t="shared" si="42"/>
        <v>0</v>
      </c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8.75" hidden="1">
      <c r="A183" s="155"/>
      <c r="B183" s="39"/>
      <c r="C183" s="39"/>
      <c r="D183" s="39"/>
      <c r="E183" s="222" t="s">
        <v>19</v>
      </c>
      <c r="F183" s="39"/>
      <c r="G183" s="156"/>
      <c r="H183" s="157" t="s">
        <v>12</v>
      </c>
      <c r="I183" s="612"/>
      <c r="J183" s="612"/>
      <c r="K183" s="92"/>
      <c r="L183" s="92">
        <f t="shared" ca="1" si="43"/>
        <v>449450</v>
      </c>
      <c r="M183" s="92">
        <f t="shared" ca="1" si="43"/>
        <v>455670</v>
      </c>
      <c r="N183" s="92">
        <f t="shared" ca="1" si="43"/>
        <v>455670</v>
      </c>
      <c r="O183" s="92">
        <f t="shared" ca="1" si="41"/>
        <v>101.3839136722661</v>
      </c>
      <c r="P183" s="92">
        <f t="shared" ca="1" si="42"/>
        <v>100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8.75">
      <c r="A184" s="158"/>
      <c r="B184" s="32"/>
      <c r="C184" s="281"/>
      <c r="D184" s="33" t="s">
        <v>20</v>
      </c>
      <c r="E184" s="32"/>
      <c r="F184" s="32"/>
      <c r="G184" s="34"/>
      <c r="H184" s="160" t="s">
        <v>12</v>
      </c>
      <c r="I184" s="183"/>
      <c r="J184" s="183"/>
      <c r="K184" s="162"/>
      <c r="L184" s="497">
        <f ca="1">L185+L186</f>
        <v>449450</v>
      </c>
      <c r="M184" s="497">
        <f ca="1">M185+M186</f>
        <v>455670</v>
      </c>
      <c r="N184" s="497">
        <f ca="1">N185+N186</f>
        <v>455670</v>
      </c>
      <c r="O184" s="497">
        <f t="shared" ca="1" si="41"/>
        <v>101.3839136722661</v>
      </c>
      <c r="P184" s="497">
        <f t="shared" ca="1" si="42"/>
        <v>100</v>
      </c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9.5" hidden="1">
      <c r="A185" s="155"/>
      <c r="B185" s="39"/>
      <c r="C185" s="163"/>
      <c r="D185" s="39"/>
      <c r="E185" s="222" t="s">
        <v>36</v>
      </c>
      <c r="F185" s="39"/>
      <c r="G185" s="156"/>
      <c r="H185" s="164" t="s">
        <v>12</v>
      </c>
      <c r="I185" s="165"/>
      <c r="J185" s="165"/>
      <c r="K185" s="166"/>
      <c r="L185" s="92">
        <v>0</v>
      </c>
      <c r="M185" s="92">
        <v>0</v>
      </c>
      <c r="N185" s="92">
        <v>0</v>
      </c>
      <c r="O185" s="92">
        <f t="shared" si="41"/>
        <v>0</v>
      </c>
      <c r="P185" s="92">
        <f t="shared" si="42"/>
        <v>0</v>
      </c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9.5" hidden="1">
      <c r="A186" s="155"/>
      <c r="B186" s="39"/>
      <c r="C186" s="163"/>
      <c r="D186" s="39"/>
      <c r="E186" s="222" t="s">
        <v>37</v>
      </c>
      <c r="F186" s="39"/>
      <c r="G186" s="156"/>
      <c r="H186" s="164" t="s">
        <v>12</v>
      </c>
      <c r="I186" s="165"/>
      <c r="J186" s="165"/>
      <c r="K186" s="166"/>
      <c r="L186" s="92">
        <f ca="1">IFERROR(__xludf.DUMMYFUNCTION("IMPORTRANGE(""https://docs.google.com/spreadsheets/d/1MeEWN-I1oV_STSDYn1IFDPWt_1FKiwhDph83XaGc0o0/edit?usp=sharing"",""งบพรบ!CO60"")"),449450)</f>
        <v>449450</v>
      </c>
      <c r="M186" s="92">
        <f ca="1">IFERROR(__xludf.DUMMYFUNCTION("IMPORTRANGE(""https://docs.google.com/spreadsheets/d/1MeEWN-I1oV_STSDYn1IFDPWt_1FKiwhDph83XaGc0o0/edit?usp=sharing"",""งบพรบ!CT60"")"),455670)</f>
        <v>455670</v>
      </c>
      <c r="N186" s="92">
        <f ca="1">IFERROR(__xludf.DUMMYFUNCTION("IMPORTRANGE(""https://docs.google.com/spreadsheets/d/1MeEWN-I1oV_STSDYn1IFDPWt_1FKiwhDph83XaGc0o0/edit?usp=sharing"",""งบพรบ!CV60"")"),455670)</f>
        <v>455670</v>
      </c>
      <c r="O186" s="92">
        <f t="shared" ca="1" si="41"/>
        <v>101.3839136722661</v>
      </c>
      <c r="P186" s="92">
        <f t="shared" ca="1" si="42"/>
        <v>100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8.75">
      <c r="A187" s="158"/>
      <c r="B187" s="32"/>
      <c r="C187" s="281"/>
      <c r="D187" s="33" t="s">
        <v>21</v>
      </c>
      <c r="E187" s="32"/>
      <c r="F187" s="32"/>
      <c r="G187" s="34"/>
      <c r="H187" s="167" t="s">
        <v>12</v>
      </c>
      <c r="I187" s="183"/>
      <c r="J187" s="183"/>
      <c r="K187" s="162"/>
      <c r="L187" s="497">
        <f ca="1">L188+L189</f>
        <v>0</v>
      </c>
      <c r="M187" s="497">
        <f ca="1">M188+M189</f>
        <v>0</v>
      </c>
      <c r="N187" s="497">
        <f ca="1">N188+N189</f>
        <v>0</v>
      </c>
      <c r="O187" s="497">
        <f t="shared" ca="1" si="41"/>
        <v>0</v>
      </c>
      <c r="P187" s="497">
        <f t="shared" ca="1" si="42"/>
        <v>0</v>
      </c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9.5" hidden="1">
      <c r="A188" s="155"/>
      <c r="B188" s="39"/>
      <c r="C188" s="163"/>
      <c r="D188" s="39"/>
      <c r="E188" s="222" t="s">
        <v>18</v>
      </c>
      <c r="F188" s="39"/>
      <c r="G188" s="156"/>
      <c r="H188" s="164" t="s">
        <v>12</v>
      </c>
      <c r="I188" s="165"/>
      <c r="J188" s="165"/>
      <c r="K188" s="166"/>
      <c r="L188" s="92">
        <v>0</v>
      </c>
      <c r="M188" s="92">
        <v>0</v>
      </c>
      <c r="N188" s="92">
        <v>0</v>
      </c>
      <c r="O188" s="92">
        <f t="shared" si="41"/>
        <v>0</v>
      </c>
      <c r="P188" s="92">
        <f t="shared" si="42"/>
        <v>0</v>
      </c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9.5" hidden="1">
      <c r="A189" s="155"/>
      <c r="B189" s="39"/>
      <c r="C189" s="163"/>
      <c r="D189" s="39"/>
      <c r="E189" s="222" t="s">
        <v>19</v>
      </c>
      <c r="F189" s="39"/>
      <c r="G189" s="156"/>
      <c r="H189" s="168" t="s">
        <v>12</v>
      </c>
      <c r="I189" s="165"/>
      <c r="J189" s="165"/>
      <c r="K189" s="166"/>
      <c r="L189" s="92">
        <f ca="1">IFERROR(__xludf.DUMMYFUNCTION("IMPORTRANGE(""https://docs.google.com/spreadsheets/d/1MeEWN-I1oV_STSDYn1IFDPWt_1FKiwhDph83XaGc0o0/edit?usp=sharing"",""งบพรบ!CR60"")"),0)</f>
        <v>0</v>
      </c>
      <c r="M189" s="92">
        <f ca="1">IFERROR(__xludf.DUMMYFUNCTION("IMPORTRANGE(""https://docs.google.com/spreadsheets/d/1MeEWN-I1oV_STSDYn1IFDPWt_1FKiwhDph83XaGc0o0/edit?usp=sharing"",""งบพรบ!CU60"")"),0)</f>
        <v>0</v>
      </c>
      <c r="N189" s="92">
        <f ca="1">IFERROR(__xludf.DUMMYFUNCTION("IMPORTRANGE(""https://docs.google.com/spreadsheets/d/1MeEWN-I1oV_STSDYn1IFDPWt_1FKiwhDph83XaGc0o0/edit?usp=sharing"",""งบพรบ!CW60"")"),0)</f>
        <v>0</v>
      </c>
      <c r="O189" s="92">
        <f t="shared" ca="1" si="41"/>
        <v>0</v>
      </c>
      <c r="P189" s="92">
        <f t="shared" ca="1" si="42"/>
        <v>0</v>
      </c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ca="1">I193</f>
        <v>4</v>
      </c>
      <c r="J190" s="271">
        <f>J193</f>
        <v>4</v>
      </c>
      <c r="K190" s="272">
        <f ca="1">IF(I190&gt;0,J190*100/I190,0)</f>
        <v>100</v>
      </c>
      <c r="L190" s="261"/>
      <c r="M190" s="261"/>
      <c r="N190" s="261"/>
      <c r="O190" s="261"/>
      <c r="P190" s="261"/>
    </row>
    <row r="191" spans="1:26" ht="19.5">
      <c r="A191" s="146"/>
      <c r="B191" s="147"/>
      <c r="C191" s="148" t="s">
        <v>16</v>
      </c>
      <c r="D191" s="863" t="s">
        <v>17</v>
      </c>
      <c r="E191" s="147"/>
      <c r="F191" s="147"/>
      <c r="G191" s="150"/>
      <c r="H191" s="274" t="s">
        <v>12</v>
      </c>
      <c r="I191" s="419"/>
      <c r="J191" s="419"/>
      <c r="K191" s="153"/>
      <c r="L191" s="154">
        <f ca="1">IFERROR(__xludf.DUMMYFUNCTION("IMPORTRANGE(""https://docs.google.com/spreadsheets/d/1QqKyyYR6Q21VydFLVH3TRQUabQu_ym0Zz7PgGX0-kHA/edit?usp=sharing"",""แผน!Z60"")"),6000)</f>
        <v>6000</v>
      </c>
      <c r="M191" s="154"/>
      <c r="N191" s="275">
        <v>6000</v>
      </c>
      <c r="O191" s="154">
        <f ca="1">IF(L191&gt;0,N191*100/L191,0)</f>
        <v>100</v>
      </c>
      <c r="P191" s="154">
        <f>IF(M191&gt;0,N191*100/M191,0)</f>
        <v>0</v>
      </c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9.5">
      <c r="A192" s="169"/>
      <c r="B192" s="170"/>
      <c r="C192" s="210" t="s">
        <v>16</v>
      </c>
      <c r="D192" s="856" t="s">
        <v>38</v>
      </c>
      <c r="E192" s="172"/>
      <c r="F192" s="172"/>
      <c r="G192" s="173"/>
      <c r="H192" s="757"/>
      <c r="I192" s="269"/>
      <c r="J192" s="269"/>
      <c r="K192" s="497"/>
      <c r="L192" s="497"/>
      <c r="M192" s="497"/>
      <c r="N192" s="497"/>
      <c r="O192" s="497"/>
      <c r="P192" s="497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8.75">
      <c r="A193" s="169"/>
      <c r="B193" s="170"/>
      <c r="C193" s="170"/>
      <c r="D193" s="446" t="s">
        <v>91</v>
      </c>
      <c r="E193" s="177"/>
      <c r="F193" s="177"/>
      <c r="G193" s="178"/>
      <c r="H193" s="759" t="s">
        <v>90</v>
      </c>
      <c r="I193" s="269">
        <f ca="1">IFERROR(__xludf.DUMMYFUNCTION("IMPORTRANGE(""https://docs.google.com/spreadsheets/d/1QqKyyYR6Q21VydFLVH3TRQUabQu_ym0Zz7PgGX0-kHA/edit?usp=sharing"",""แผน!AC60"")"),4)</f>
        <v>4</v>
      </c>
      <c r="J193" s="214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8.75">
      <c r="A194" s="169"/>
      <c r="B194" s="170"/>
      <c r="C194" s="170"/>
      <c r="D194" s="446" t="s">
        <v>92</v>
      </c>
      <c r="E194" s="177"/>
      <c r="F194" s="177"/>
      <c r="G194" s="178"/>
      <c r="H194" s="276" t="s">
        <v>35</v>
      </c>
      <c r="I194" s="269"/>
      <c r="J194" s="269">
        <f>J195+J196</f>
        <v>150</v>
      </c>
      <c r="K194" s="497"/>
      <c r="L194" s="497"/>
      <c r="M194" s="497"/>
      <c r="N194" s="497"/>
      <c r="O194" s="497"/>
      <c r="P194" s="497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8.75">
      <c r="A195" s="169"/>
      <c r="B195" s="170"/>
      <c r="C195" s="170"/>
      <c r="D195" s="170"/>
      <c r="E195" s="446" t="s">
        <v>93</v>
      </c>
      <c r="F195" s="177"/>
      <c r="G195" s="178"/>
      <c r="H195" s="276" t="s">
        <v>35</v>
      </c>
      <c r="I195" s="269"/>
      <c r="J195" s="214">
        <v>150</v>
      </c>
      <c r="K195" s="497"/>
      <c r="L195" s="497"/>
      <c r="M195" s="497"/>
      <c r="N195" s="497"/>
      <c r="O195" s="497"/>
      <c r="P195" s="497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8.75">
      <c r="A196" s="169"/>
      <c r="B196" s="170"/>
      <c r="C196" s="170"/>
      <c r="D196" s="170"/>
      <c r="E196" s="446" t="s">
        <v>94</v>
      </c>
      <c r="F196" s="177"/>
      <c r="G196" s="178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ca="1">I204</f>
        <v>0</v>
      </c>
      <c r="J197" s="271">
        <f>J204</f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6"/>
      <c r="B198" s="147"/>
      <c r="C198" s="148" t="s">
        <v>16</v>
      </c>
      <c r="D198" s="863" t="s">
        <v>17</v>
      </c>
      <c r="E198" s="147"/>
      <c r="F198" s="147"/>
      <c r="G198" s="150"/>
      <c r="H198" s="274" t="s">
        <v>12</v>
      </c>
      <c r="I198" s="418"/>
      <c r="J198" s="418"/>
      <c r="K198" s="279"/>
      <c r="L198" s="154">
        <f ca="1">L199+L200+L201+L202</f>
        <v>0</v>
      </c>
      <c r="M198" s="154"/>
      <c r="N198" s="154">
        <f>N199+N200+N201+N202</f>
        <v>0</v>
      </c>
      <c r="O198" s="154">
        <f ca="1">IF(L198&gt;0,N198*100/L198,0)</f>
        <v>0</v>
      </c>
      <c r="P198" s="154">
        <f>IF(M198&gt;0,N198*100/M198,0)</f>
        <v>0</v>
      </c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8.75" hidden="1">
      <c r="A199" s="158"/>
      <c r="B199" s="280"/>
      <c r="C199" s="32"/>
      <c r="D199" s="281" t="s">
        <v>97</v>
      </c>
      <c r="E199" s="32"/>
      <c r="F199" s="32"/>
      <c r="G199" s="34"/>
      <c r="H199" s="160" t="s">
        <v>12</v>
      </c>
      <c r="I199" s="183"/>
      <c r="J199" s="183"/>
      <c r="K199" s="162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3">
        <v>0</v>
      </c>
      <c r="O199" s="497"/>
      <c r="P199" s="497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9.5" hidden="1">
      <c r="A200" s="284"/>
      <c r="B200" s="280"/>
      <c r="C200" s="210"/>
      <c r="D200" s="281" t="s">
        <v>98</v>
      </c>
      <c r="E200" s="32"/>
      <c r="F200" s="32"/>
      <c r="G200" s="34"/>
      <c r="H200" s="618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3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0"/>
      <c r="C201" s="210"/>
      <c r="D201" s="281" t="s">
        <v>99</v>
      </c>
      <c r="E201" s="32"/>
      <c r="F201" s="32"/>
      <c r="G201" s="34"/>
      <c r="H201" s="618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3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0"/>
      <c r="C202" s="210"/>
      <c r="D202" s="281" t="s">
        <v>100</v>
      </c>
      <c r="E202" s="32"/>
      <c r="F202" s="32"/>
      <c r="G202" s="34"/>
      <c r="H202" s="618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3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69"/>
      <c r="B203" s="170"/>
      <c r="C203" s="210" t="s">
        <v>16</v>
      </c>
      <c r="D203" s="856" t="s">
        <v>38</v>
      </c>
      <c r="E203" s="172"/>
      <c r="F203" s="172"/>
      <c r="G203" s="173"/>
      <c r="H203" s="757"/>
      <c r="I203" s="183"/>
      <c r="J203" s="183"/>
      <c r="K203" s="162"/>
      <c r="L203" s="162"/>
      <c r="M203" s="162"/>
      <c r="N203" s="162"/>
      <c r="O203" s="162"/>
      <c r="P203" s="16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8.75" hidden="1">
      <c r="A204" s="169"/>
      <c r="B204" s="170"/>
      <c r="C204" s="170"/>
      <c r="D204" s="175" t="s">
        <v>101</v>
      </c>
      <c r="E204" s="177"/>
      <c r="F204" s="177"/>
      <c r="G204" s="178"/>
      <c r="H204" s="757" t="s">
        <v>96</v>
      </c>
      <c r="I204" s="269">
        <f ca="1">IFERROR(__xludf.DUMMYFUNCTION("IMPORTRANGE(""https://docs.google.com/spreadsheets/d/1QqKyyYR6Q21VydFLVH3TRQUabQu_ym0Zz7PgGX0-kHA/edit?usp=sharing"",""แผน!AI60"")"),0)</f>
        <v>0</v>
      </c>
      <c r="J204" s="214">
        <v>0</v>
      </c>
      <c r="K204" s="162">
        <f ca="1">IF(I204&gt;0,J204*100/I204,0)</f>
        <v>0</v>
      </c>
      <c r="L204" s="497"/>
      <c r="M204" s="497"/>
      <c r="N204" s="497"/>
      <c r="O204" s="497"/>
      <c r="P204" s="497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8.75" hidden="1">
      <c r="A205" s="169"/>
      <c r="B205" s="170"/>
      <c r="C205" s="170"/>
      <c r="D205" s="446" t="s">
        <v>59</v>
      </c>
      <c r="E205" s="177"/>
      <c r="F205" s="177"/>
      <c r="G205" s="178"/>
      <c r="H205" s="757"/>
      <c r="I205" s="269"/>
      <c r="J205" s="269"/>
      <c r="K205" s="162"/>
      <c r="L205" s="497"/>
      <c r="M205" s="497"/>
      <c r="N205" s="497"/>
      <c r="O205" s="497"/>
      <c r="P205" s="497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8.75" hidden="1">
      <c r="A206" s="169"/>
      <c r="B206" s="170"/>
      <c r="C206" s="170"/>
      <c r="D206" s="177"/>
      <c r="E206" s="446" t="s">
        <v>347</v>
      </c>
      <c r="F206" s="177"/>
      <c r="G206" s="178"/>
      <c r="H206" s="757" t="s">
        <v>96</v>
      </c>
      <c r="I206" s="269"/>
      <c r="J206" s="214">
        <v>0</v>
      </c>
      <c r="K206" s="162"/>
      <c r="L206" s="497"/>
      <c r="M206" s="497"/>
      <c r="N206" s="497"/>
      <c r="O206" s="497"/>
      <c r="P206" s="497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8.75" hidden="1">
      <c r="A207" s="169"/>
      <c r="B207" s="170"/>
      <c r="C207" s="170"/>
      <c r="D207" s="446"/>
      <c r="E207" s="446" t="s">
        <v>346</v>
      </c>
      <c r="F207" s="177"/>
      <c r="G207" s="178"/>
      <c r="H207" s="759" t="s">
        <v>66</v>
      </c>
      <c r="I207" s="269"/>
      <c r="J207" s="214">
        <v>0</v>
      </c>
      <c r="K207" s="162"/>
      <c r="L207" s="497"/>
      <c r="M207" s="497"/>
      <c r="N207" s="497"/>
      <c r="O207" s="497"/>
      <c r="P207" s="497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9.5" hidden="1">
      <c r="A208" s="255"/>
      <c r="B208" s="263"/>
      <c r="C208" s="270" t="s">
        <v>105</v>
      </c>
      <c r="D208" s="256"/>
      <c r="E208" s="256"/>
      <c r="F208" s="291"/>
      <c r="G208" s="258"/>
      <c r="H208" s="277" t="s">
        <v>96</v>
      </c>
      <c r="I208" s="271">
        <f ca="1">I215</f>
        <v>0</v>
      </c>
      <c r="J208" s="271">
        <f>J215</f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6"/>
      <c r="B209" s="147"/>
      <c r="C209" s="148" t="s">
        <v>16</v>
      </c>
      <c r="D209" s="863" t="s">
        <v>17</v>
      </c>
      <c r="E209" s="147"/>
      <c r="F209" s="147"/>
      <c r="G209" s="150"/>
      <c r="H209" s="274" t="s">
        <v>12</v>
      </c>
      <c r="I209" s="418"/>
      <c r="J209" s="418"/>
      <c r="K209" s="279"/>
      <c r="L209" s="154">
        <f ca="1">L210+L211+L212</f>
        <v>0</v>
      </c>
      <c r="M209" s="154"/>
      <c r="N209" s="154">
        <f>N210+N211+N212</f>
        <v>0</v>
      </c>
      <c r="O209" s="154">
        <f ca="1">IF(L209&gt;0,N209*100/L209,0)</f>
        <v>0</v>
      </c>
      <c r="P209" s="154">
        <f>IF(M209&gt;0,N209*100/M209,0)</f>
        <v>0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8.75" hidden="1">
      <c r="A210" s="158"/>
      <c r="B210" s="280"/>
      <c r="C210" s="32"/>
      <c r="D210" s="281" t="s">
        <v>97</v>
      </c>
      <c r="E210" s="32"/>
      <c r="F210" s="32"/>
      <c r="G210" s="34"/>
      <c r="H210" s="160" t="s">
        <v>12</v>
      </c>
      <c r="I210" s="183"/>
      <c r="J210" s="183"/>
      <c r="K210" s="162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3">
        <v>0</v>
      </c>
      <c r="O210" s="497"/>
      <c r="P210" s="497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9.5" hidden="1">
      <c r="A211" s="284"/>
      <c r="B211" s="280"/>
      <c r="C211" s="292"/>
      <c r="D211" s="281" t="s">
        <v>99</v>
      </c>
      <c r="E211" s="32"/>
      <c r="F211" s="32"/>
      <c r="G211" s="34"/>
      <c r="H211" s="160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3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0"/>
      <c r="C212" s="292"/>
      <c r="D212" s="281" t="s">
        <v>98</v>
      </c>
      <c r="E212" s="32"/>
      <c r="F212" s="32"/>
      <c r="G212" s="34"/>
      <c r="H212" s="160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3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69"/>
      <c r="B213" s="170"/>
      <c r="C213" s="292" t="s">
        <v>16</v>
      </c>
      <c r="D213" s="856" t="s">
        <v>38</v>
      </c>
      <c r="E213" s="172"/>
      <c r="F213" s="172"/>
      <c r="G213" s="173"/>
      <c r="H213" s="757"/>
      <c r="I213" s="183"/>
      <c r="J213" s="269"/>
      <c r="K213" s="497"/>
      <c r="L213" s="497"/>
      <c r="M213" s="497"/>
      <c r="N213" s="497"/>
      <c r="O213" s="162"/>
      <c r="P213" s="16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8.75" hidden="1">
      <c r="A214" s="169"/>
      <c r="B214" s="170"/>
      <c r="C214" s="170"/>
      <c r="D214" s="175" t="s">
        <v>106</v>
      </c>
      <c r="E214" s="177"/>
      <c r="F214" s="177"/>
      <c r="G214" s="178"/>
      <c r="H214" s="757" t="s">
        <v>96</v>
      </c>
      <c r="I214" s="269">
        <f ca="1">IFERROR(__xludf.DUMMYFUNCTION("IMPORTRANGE(""https://docs.google.com/spreadsheets/d/1QqKyyYR6Q21VydFLVH3TRQUabQu_ym0Zz7PgGX0-kHA/edit?usp=sharing"",""แผน!AN60"")"),0)</f>
        <v>0</v>
      </c>
      <c r="J214" s="214">
        <v>0</v>
      </c>
      <c r="K214" s="497">
        <f ca="1">IF(I214&gt;0,J214*100/I214,0)</f>
        <v>0</v>
      </c>
      <c r="L214" s="497"/>
      <c r="M214" s="497"/>
      <c r="N214" s="497"/>
      <c r="O214" s="497"/>
      <c r="P214" s="497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8.75" hidden="1">
      <c r="A215" s="169"/>
      <c r="B215" s="170"/>
      <c r="C215" s="170"/>
      <c r="D215" s="175" t="s">
        <v>107</v>
      </c>
      <c r="E215" s="177"/>
      <c r="F215" s="177"/>
      <c r="G215" s="178"/>
      <c r="H215" s="757" t="s">
        <v>96</v>
      </c>
      <c r="I215" s="269">
        <f ca="1">IFERROR(__xludf.DUMMYFUNCTION("IMPORTRANGE(""https://docs.google.com/spreadsheets/d/1QqKyyYR6Q21VydFLVH3TRQUabQu_ym0Zz7PgGX0-kHA/edit?usp=sharing"",""แผน!AN60"")"),0)</f>
        <v>0</v>
      </c>
      <c r="J215" s="214">
        <v>0</v>
      </c>
      <c r="K215" s="497">
        <f ca="1">IF(I215&gt;0,J215*100/I215,0)</f>
        <v>0</v>
      </c>
      <c r="L215" s="497"/>
      <c r="M215" s="497"/>
      <c r="N215" s="497"/>
      <c r="O215" s="497"/>
      <c r="P215" s="497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9.5">
      <c r="A216" s="255"/>
      <c r="B216" s="263"/>
      <c r="C216" s="270" t="s">
        <v>108</v>
      </c>
      <c r="D216" s="256"/>
      <c r="E216" s="256"/>
      <c r="F216" s="291"/>
      <c r="G216" s="258"/>
      <c r="H216" s="259" t="s">
        <v>109</v>
      </c>
      <c r="I216" s="271">
        <f ca="1">I224</f>
        <v>5000</v>
      </c>
      <c r="J216" s="271">
        <f>J224</f>
        <v>5000</v>
      </c>
      <c r="K216" s="272">
        <f ca="1">IF(I216&gt;0,J216*100/I216,0)</f>
        <v>100</v>
      </c>
      <c r="L216" s="261"/>
      <c r="M216" s="261"/>
      <c r="N216" s="261"/>
      <c r="O216" s="261"/>
      <c r="P216" s="261"/>
    </row>
    <row r="217" spans="1:26" ht="19.5">
      <c r="A217" s="146"/>
      <c r="B217" s="147"/>
      <c r="C217" s="148" t="s">
        <v>16</v>
      </c>
      <c r="D217" s="863" t="s">
        <v>17</v>
      </c>
      <c r="E217" s="147"/>
      <c r="F217" s="147"/>
      <c r="G217" s="150"/>
      <c r="H217" s="274" t="s">
        <v>12</v>
      </c>
      <c r="I217" s="418"/>
      <c r="J217" s="418"/>
      <c r="K217" s="279"/>
      <c r="L217" s="154">
        <f ca="1">L218+L219+L220</f>
        <v>5900</v>
      </c>
      <c r="M217" s="154"/>
      <c r="N217" s="154">
        <f>N218+N219+N220</f>
        <v>5900</v>
      </c>
      <c r="O217" s="154">
        <f ca="1">IF(L217&gt;0,N217*100/L217,0)</f>
        <v>100</v>
      </c>
      <c r="P217" s="154">
        <f>IF(M217&gt;0,N217*100/M217,0)</f>
        <v>0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8.75">
      <c r="A218" s="158"/>
      <c r="B218" s="280"/>
      <c r="C218" s="32"/>
      <c r="D218" s="281" t="s">
        <v>97</v>
      </c>
      <c r="E218" s="32"/>
      <c r="F218" s="32"/>
      <c r="G218" s="34"/>
      <c r="H218" s="160" t="s">
        <v>12</v>
      </c>
      <c r="I218" s="183"/>
      <c r="J218" s="183"/>
      <c r="K218" s="162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3">
        <v>3000</v>
      </c>
      <c r="O218" s="497"/>
      <c r="P218" s="497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9.5">
      <c r="A219" s="284"/>
      <c r="B219" s="280"/>
      <c r="C219" s="292"/>
      <c r="D219" s="281" t="s">
        <v>110</v>
      </c>
      <c r="E219" s="32"/>
      <c r="F219" s="32"/>
      <c r="G219" s="34"/>
      <c r="H219" s="160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3">
        <v>2900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0"/>
      <c r="C220" s="292"/>
      <c r="D220" s="281" t="s">
        <v>98</v>
      </c>
      <c r="E220" s="32"/>
      <c r="F220" s="32"/>
      <c r="G220" s="34"/>
      <c r="H220" s="160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69"/>
      <c r="B221" s="170"/>
      <c r="C221" s="292" t="s">
        <v>16</v>
      </c>
      <c r="D221" s="856" t="s">
        <v>38</v>
      </c>
      <c r="E221" s="172"/>
      <c r="F221" s="172"/>
      <c r="G221" s="173"/>
      <c r="H221" s="757"/>
      <c r="I221" s="183"/>
      <c r="J221" s="183"/>
      <c r="K221" s="162"/>
      <c r="L221" s="162"/>
      <c r="M221" s="162"/>
      <c r="N221" s="162"/>
      <c r="O221" s="162"/>
      <c r="P221" s="16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8.75">
      <c r="A222" s="169"/>
      <c r="B222" s="170"/>
      <c r="C222" s="170"/>
      <c r="D222" s="281" t="s">
        <v>111</v>
      </c>
      <c r="E222" s="177"/>
      <c r="F222" s="177"/>
      <c r="G222" s="178"/>
      <c r="H222" s="757"/>
      <c r="I222" s="269"/>
      <c r="J222" s="269"/>
      <c r="K222" s="162"/>
      <c r="L222" s="162"/>
      <c r="M222" s="162"/>
      <c r="N222" s="162"/>
      <c r="O222" s="162"/>
      <c r="P222" s="16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8.75">
      <c r="A223" s="169"/>
      <c r="B223" s="170"/>
      <c r="C223" s="170"/>
      <c r="D223" s="170"/>
      <c r="E223" s="175" t="s">
        <v>112</v>
      </c>
      <c r="F223" s="177"/>
      <c r="G223" s="178"/>
      <c r="H223" s="759" t="s">
        <v>109</v>
      </c>
      <c r="I223" s="269">
        <f ca="1">IFERROR(__xludf.DUMMYFUNCTION("IMPORTRANGE(""https://docs.google.com/spreadsheets/d/1QqKyyYR6Q21VydFLVH3TRQUabQu_ym0Zz7PgGX0-kHA/edit?usp=sharing"",""แผน!AT60"")"),5000)</f>
        <v>5000</v>
      </c>
      <c r="J223" s="214">
        <v>5000</v>
      </c>
      <c r="K223" s="162">
        <f ca="1">IF(I223&gt;0,J223*100/I223,0)</f>
        <v>100</v>
      </c>
      <c r="L223" s="162"/>
      <c r="M223" s="162"/>
      <c r="N223" s="162"/>
      <c r="O223" s="162"/>
      <c r="P223" s="16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8.75">
      <c r="A224" s="169"/>
      <c r="B224" s="170"/>
      <c r="C224" s="170"/>
      <c r="D224" s="170"/>
      <c r="E224" s="175" t="s">
        <v>113</v>
      </c>
      <c r="F224" s="177"/>
      <c r="G224" s="178"/>
      <c r="H224" s="759" t="s">
        <v>109</v>
      </c>
      <c r="I224" s="269">
        <f ca="1">IFERROR(__xludf.DUMMYFUNCTION("IMPORTRANGE(""https://docs.google.com/spreadsheets/d/1QqKyyYR6Q21VydFLVH3TRQUabQu_ym0Zz7PgGX0-kHA/edit?usp=sharing"",""แผน!AT60"")"),5000)</f>
        <v>5000</v>
      </c>
      <c r="J224" s="214">
        <v>5000</v>
      </c>
      <c r="K224" s="162">
        <f ca="1">IF(I224&gt;0,J224*100/I224,0)</f>
        <v>100</v>
      </c>
      <c r="L224" s="497"/>
      <c r="M224" s="497"/>
      <c r="N224" s="497"/>
      <c r="O224" s="497"/>
      <c r="P224" s="497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8.75">
      <c r="A225" s="169"/>
      <c r="B225" s="170"/>
      <c r="C225" s="170"/>
      <c r="D225" s="281" t="s">
        <v>114</v>
      </c>
      <c r="E225" s="177"/>
      <c r="F225" s="177"/>
      <c r="G225" s="178"/>
      <c r="H225" s="759" t="s">
        <v>35</v>
      </c>
      <c r="I225" s="269">
        <f ca="1">IFERROR(__xludf.DUMMYFUNCTION("IMPORTRANGE(""https://docs.google.com/spreadsheets/d/1QqKyyYR6Q21VydFLVH3TRQUabQu_ym0Zz7PgGX0-kHA/edit?usp=sharing"",""แผน!AS60"")"),0)</f>
        <v>0</v>
      </c>
      <c r="J225" s="214">
        <v>0</v>
      </c>
      <c r="K225" s="162">
        <f ca="1">IF(I225&gt;0,J225*100/I225,0)</f>
        <v>0</v>
      </c>
      <c r="L225" s="497"/>
      <c r="M225" s="497"/>
      <c r="N225" s="497"/>
      <c r="O225" s="497"/>
      <c r="P225" s="497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ca="1">I237+I248</f>
        <v>15</v>
      </c>
      <c r="J226" s="344">
        <f>J237+J248</f>
        <v>15</v>
      </c>
      <c r="K226" s="345">
        <f ca="1">IF(I226&gt;0,J226*100/I226,0)</f>
        <v>100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65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ca="1">L238+L249</f>
        <v>56550</v>
      </c>
      <c r="M227" s="355"/>
      <c r="N227" s="355">
        <f>N238+N249</f>
        <v>56550</v>
      </c>
      <c r="O227" s="864"/>
      <c r="P227" s="864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8.75" hidden="1">
      <c r="A228" s="155"/>
      <c r="B228" s="356"/>
      <c r="C228" s="39"/>
      <c r="D228" s="222" t="s">
        <v>97</v>
      </c>
      <c r="E228" s="39"/>
      <c r="F228" s="39"/>
      <c r="G228" s="41"/>
      <c r="H228" s="164" t="s">
        <v>12</v>
      </c>
      <c r="I228" s="165"/>
      <c r="J228" s="165"/>
      <c r="K228" s="166"/>
      <c r="L228" s="92">
        <f ca="1">L239+L250</f>
        <v>20000</v>
      </c>
      <c r="M228" s="92"/>
      <c r="N228" s="92">
        <f>N239+N250</f>
        <v>20000</v>
      </c>
      <c r="O228" s="92"/>
      <c r="P228" s="92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9.5" hidden="1">
      <c r="A229" s="358"/>
      <c r="B229" s="356"/>
      <c r="C229" s="359"/>
      <c r="D229" s="222" t="s">
        <v>98</v>
      </c>
      <c r="E229" s="39"/>
      <c r="F229" s="39"/>
      <c r="G229" s="41"/>
      <c r="H229" s="164" t="s">
        <v>12</v>
      </c>
      <c r="I229" s="612"/>
      <c r="J229" s="612"/>
      <c r="K229" s="92"/>
      <c r="L229" s="92">
        <f ca="1">L240+L251</f>
        <v>16550</v>
      </c>
      <c r="M229" s="92"/>
      <c r="N229" s="92">
        <f>N240+N251</f>
        <v>16550</v>
      </c>
      <c r="O229" s="92"/>
      <c r="P229" s="92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39"/>
      <c r="F230" s="39"/>
      <c r="G230" s="41"/>
      <c r="H230" s="164" t="s">
        <v>12</v>
      </c>
      <c r="I230" s="612"/>
      <c r="J230" s="612"/>
      <c r="K230" s="92"/>
      <c r="L230" s="92">
        <f ca="1">L241+L252</f>
        <v>10000</v>
      </c>
      <c r="M230" s="92"/>
      <c r="N230" s="92">
        <f>N241+N252</f>
        <v>10000</v>
      </c>
      <c r="O230" s="92"/>
      <c r="P230" s="92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39"/>
      <c r="F231" s="39"/>
      <c r="G231" s="41"/>
      <c r="H231" s="164" t="s">
        <v>12</v>
      </c>
      <c r="I231" s="612"/>
      <c r="J231" s="612"/>
      <c r="K231" s="92"/>
      <c r="L231" s="92">
        <f ca="1">L242+L253</f>
        <v>10000</v>
      </c>
      <c r="M231" s="92"/>
      <c r="N231" s="92">
        <f>N242+N253</f>
        <v>10000</v>
      </c>
      <c r="O231" s="92"/>
      <c r="P231" s="92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5"/>
      <c r="J232" s="612"/>
      <c r="K232" s="92"/>
      <c r="L232" s="92"/>
      <c r="M232" s="92"/>
      <c r="N232" s="92"/>
      <c r="O232" s="166"/>
      <c r="P232" s="166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2">
        <f ca="1">I244+I255</f>
        <v>15</v>
      </c>
      <c r="J233" s="612">
        <f>J244+J255</f>
        <v>15</v>
      </c>
      <c r="K233" s="92">
        <f ca="1">IF(I233&gt;0,J233*100/I233,0)</f>
        <v>100</v>
      </c>
      <c r="L233" s="92"/>
      <c r="M233" s="92"/>
      <c r="N233" s="92"/>
      <c r="O233" s="92"/>
      <c r="P233" s="92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2"/>
      <c r="J234" s="612"/>
      <c r="K234" s="92"/>
      <c r="L234" s="92"/>
      <c r="M234" s="92"/>
      <c r="N234" s="92"/>
      <c r="O234" s="166"/>
      <c r="P234" s="166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2">
        <f>I246+I257</f>
        <v>15</v>
      </c>
      <c r="J235" s="612">
        <f>J246+J257</f>
        <v>15</v>
      </c>
      <c r="K235" s="92">
        <f>IF(I235&gt;0,J235*100/I235,0)</f>
        <v>100</v>
      </c>
      <c r="L235" s="92"/>
      <c r="M235" s="92"/>
      <c r="N235" s="92"/>
      <c r="O235" s="92"/>
      <c r="P235" s="92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66</v>
      </c>
      <c r="I236" s="612">
        <f>I247+I258</f>
        <v>1</v>
      </c>
      <c r="J236" s="612">
        <f>J247+J258</f>
        <v>1</v>
      </c>
      <c r="K236" s="92">
        <f>IF(I236&gt;0,J236*100/I236,0)</f>
        <v>100</v>
      </c>
      <c r="L236" s="92"/>
      <c r="M236" s="92"/>
      <c r="N236" s="92"/>
      <c r="O236" s="92"/>
      <c r="P236" s="92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9.5">
      <c r="A237" s="255"/>
      <c r="B237" s="263"/>
      <c r="C237" s="270" t="s">
        <v>344</v>
      </c>
      <c r="D237" s="256"/>
      <c r="E237" s="256"/>
      <c r="F237" s="256"/>
      <c r="G237" s="258"/>
      <c r="H237" s="259" t="s">
        <v>35</v>
      </c>
      <c r="I237" s="271">
        <f ca="1">I244</f>
        <v>15</v>
      </c>
      <c r="J237" s="271">
        <f>J244</f>
        <v>15</v>
      </c>
      <c r="K237" s="272">
        <f ca="1">IF(I237&gt;0,J237*100/I237,0)</f>
        <v>100</v>
      </c>
      <c r="L237" s="261"/>
      <c r="M237" s="261"/>
      <c r="N237" s="261"/>
      <c r="O237" s="261"/>
      <c r="P237" s="261"/>
    </row>
    <row r="238" spans="1:26" ht="19.5">
      <c r="A238" s="146"/>
      <c r="B238" s="147"/>
      <c r="C238" s="148" t="s">
        <v>16</v>
      </c>
      <c r="D238" s="855" t="s">
        <v>17</v>
      </c>
      <c r="E238" s="147"/>
      <c r="F238" s="147"/>
      <c r="G238" s="150"/>
      <c r="H238" s="274" t="s">
        <v>12</v>
      </c>
      <c r="I238" s="418"/>
      <c r="J238" s="418"/>
      <c r="K238" s="279"/>
      <c r="L238" s="154">
        <f ca="1">L239+L240+L241+L242</f>
        <v>56550</v>
      </c>
      <c r="M238" s="154"/>
      <c r="N238" s="154">
        <f>N239+N240+N241+N242</f>
        <v>56550</v>
      </c>
      <c r="O238" s="154">
        <f ca="1">IF(L238&gt;0,N238*100/L238,0)</f>
        <v>100</v>
      </c>
      <c r="P238" s="154">
        <f>IF(M238&gt;0,N238*100/M238,0)</f>
        <v>0</v>
      </c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8.75">
      <c r="A239" s="314"/>
      <c r="B239" s="315"/>
      <c r="C239" s="316"/>
      <c r="D239" s="324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282">
        <f ca="1">IFERROR(__xludf.DUMMYFUNCTION("IMPORTRANGE(""https://docs.google.com/spreadsheets/d/1QqKyyYR6Q21VydFLVH3TRQUabQu_ym0Zz7PgGX0-kHA/edit?usp=sharing"",""แผน!AV60"")"),20000)</f>
        <v>20000</v>
      </c>
      <c r="M239" s="282"/>
      <c r="N239" s="862">
        <v>20000</v>
      </c>
      <c r="O239" s="282"/>
      <c r="P239" s="28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2"/>
      <c r="B240" s="315"/>
      <c r="C240" s="323"/>
      <c r="D240" s="324" t="s">
        <v>98</v>
      </c>
      <c r="E240" s="316"/>
      <c r="F240" s="316"/>
      <c r="G240" s="318"/>
      <c r="H240" s="319" t="s">
        <v>12</v>
      </c>
      <c r="I240" s="325"/>
      <c r="J240" s="325"/>
      <c r="K240" s="282"/>
      <c r="L240" s="282">
        <f ca="1">IFERROR(__xludf.DUMMYFUNCTION("IMPORTRANGE(""https://docs.google.com/spreadsheets/d/1QqKyyYR6Q21VydFLVH3TRQUabQu_ym0Zz7PgGX0-kHA/edit?usp=sharing"",""แผน!AW60"")"),16550)</f>
        <v>16550</v>
      </c>
      <c r="M240" s="282"/>
      <c r="N240" s="862">
        <v>16550</v>
      </c>
      <c r="O240" s="282"/>
      <c r="P240" s="282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5"/>
      <c r="C241" s="323"/>
      <c r="D241" s="324" t="s">
        <v>116</v>
      </c>
      <c r="E241" s="316"/>
      <c r="F241" s="316"/>
      <c r="G241" s="318"/>
      <c r="H241" s="319" t="s">
        <v>12</v>
      </c>
      <c r="I241" s="325"/>
      <c r="J241" s="325"/>
      <c r="K241" s="282"/>
      <c r="L241" s="282">
        <f ca="1">IFERROR(__xludf.DUMMYFUNCTION("IMPORTRANGE(""https://docs.google.com/spreadsheets/d/1QqKyyYR6Q21VydFLVH3TRQUabQu_ym0Zz7PgGX0-kHA/edit?usp=sharing"",""แผน!AX60"")"),10000)</f>
        <v>10000</v>
      </c>
      <c r="M241" s="282"/>
      <c r="N241" s="862">
        <v>10000</v>
      </c>
      <c r="O241" s="282"/>
      <c r="P241" s="282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5"/>
      <c r="C242" s="323"/>
      <c r="D242" s="324" t="s">
        <v>100</v>
      </c>
      <c r="E242" s="316"/>
      <c r="F242" s="316"/>
      <c r="G242" s="318"/>
      <c r="H242" s="319" t="s">
        <v>12</v>
      </c>
      <c r="I242" s="325"/>
      <c r="J242" s="325"/>
      <c r="K242" s="282"/>
      <c r="L242" s="282">
        <f ca="1">IFERROR(__xludf.DUMMYFUNCTION("IMPORTRANGE(""https://docs.google.com/spreadsheets/d/1QqKyyYR6Q21VydFLVH3TRQUabQu_ym0Zz7PgGX0-kHA/edit?usp=sharing"",""แผน!AY60"")"),10000)</f>
        <v>10000</v>
      </c>
      <c r="M242" s="282"/>
      <c r="N242" s="862">
        <v>10000</v>
      </c>
      <c r="O242" s="282"/>
      <c r="P242" s="282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69"/>
      <c r="B243" s="170"/>
      <c r="C243" s="292" t="s">
        <v>16</v>
      </c>
      <c r="D243" s="856" t="s">
        <v>38</v>
      </c>
      <c r="E243" s="172"/>
      <c r="F243" s="172"/>
      <c r="G243" s="173"/>
      <c r="H243" s="757"/>
      <c r="I243" s="183"/>
      <c r="J243" s="269"/>
      <c r="K243" s="497"/>
      <c r="L243" s="497"/>
      <c r="M243" s="497"/>
      <c r="N243" s="497"/>
      <c r="O243" s="162"/>
      <c r="P243" s="16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8.75">
      <c r="A244" s="169"/>
      <c r="B244" s="170"/>
      <c r="C244" s="170"/>
      <c r="D244" s="446" t="s">
        <v>117</v>
      </c>
      <c r="E244" s="177"/>
      <c r="F244" s="177"/>
      <c r="G244" s="178"/>
      <c r="H244" s="759" t="s">
        <v>35</v>
      </c>
      <c r="I244" s="269">
        <f ca="1">IFERROR(__xludf.DUMMYFUNCTION("IMPORTRANGE(""https://docs.google.com/spreadsheets/d/1QqKyyYR6Q21VydFLVH3TRQUabQu_ym0Zz7PgGX0-kHA/edit?usp=sharing"",""แผน!BE60"")"),15)</f>
        <v>15</v>
      </c>
      <c r="J244" s="214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8.75">
      <c r="A245" s="169"/>
      <c r="B245" s="170"/>
      <c r="C245" s="170"/>
      <c r="D245" s="861" t="s">
        <v>43</v>
      </c>
      <c r="E245" s="177"/>
      <c r="F245" s="177"/>
      <c r="G245" s="178"/>
      <c r="H245" s="759"/>
      <c r="I245" s="269"/>
      <c r="J245" s="269"/>
      <c r="K245" s="497"/>
      <c r="L245" s="497"/>
      <c r="M245" s="497"/>
      <c r="N245" s="497"/>
      <c r="O245" s="162"/>
      <c r="P245" s="16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8.75">
      <c r="A246" s="169"/>
      <c r="B246" s="170"/>
      <c r="C246" s="170"/>
      <c r="D246" s="170"/>
      <c r="E246" s="175" t="s">
        <v>118</v>
      </c>
      <c r="F246" s="177"/>
      <c r="G246" s="178"/>
      <c r="H246" s="759" t="s">
        <v>35</v>
      </c>
      <c r="I246" s="269">
        <v>15</v>
      </c>
      <c r="J246" s="214">
        <v>15</v>
      </c>
      <c r="K246" s="497">
        <f>IF(I246&gt;0,J246*100/I246,0)</f>
        <v>100</v>
      </c>
      <c r="L246" s="497"/>
      <c r="M246" s="497"/>
      <c r="N246" s="497"/>
      <c r="O246" s="497"/>
      <c r="P246" s="497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8.75">
      <c r="A247" s="169"/>
      <c r="B247" s="170"/>
      <c r="C247" s="170"/>
      <c r="D247" s="170"/>
      <c r="E247" s="175" t="s">
        <v>119</v>
      </c>
      <c r="F247" s="177"/>
      <c r="G247" s="178"/>
      <c r="H247" s="759" t="s">
        <v>66</v>
      </c>
      <c r="I247" s="269">
        <v>1</v>
      </c>
      <c r="J247" s="214">
        <v>1</v>
      </c>
      <c r="K247" s="497">
        <f>IF(I247&gt;0,J247*100/I247,0)</f>
        <v>100</v>
      </c>
      <c r="L247" s="497"/>
      <c r="M247" s="497"/>
      <c r="N247" s="497"/>
      <c r="O247" s="497"/>
      <c r="P247" s="497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9.5" hidden="1">
      <c r="A248" s="255"/>
      <c r="B248" s="263"/>
      <c r="C248" s="270" t="s">
        <v>121</v>
      </c>
      <c r="D248" s="256"/>
      <c r="E248" s="256"/>
      <c r="F248" s="256"/>
      <c r="G248" s="258"/>
      <c r="H248" s="259" t="s">
        <v>35</v>
      </c>
      <c r="I248" s="271">
        <f ca="1">I255</f>
        <v>0</v>
      </c>
      <c r="J248" s="271">
        <f>J255</f>
        <v>0</v>
      </c>
      <c r="K248" s="272">
        <f ca="1">IF(I248&gt;0,J248*100/I248,0)</f>
        <v>0</v>
      </c>
      <c r="L248" s="261"/>
      <c r="M248" s="261"/>
      <c r="N248" s="261"/>
      <c r="O248" s="261"/>
      <c r="P248" s="261"/>
    </row>
    <row r="249" spans="1:26" ht="19.5" hidden="1">
      <c r="A249" s="146"/>
      <c r="B249" s="147"/>
      <c r="C249" s="148" t="s">
        <v>16</v>
      </c>
      <c r="D249" s="863" t="s">
        <v>17</v>
      </c>
      <c r="E249" s="147"/>
      <c r="F249" s="147"/>
      <c r="G249" s="150"/>
      <c r="H249" s="274" t="s">
        <v>12</v>
      </c>
      <c r="I249" s="418"/>
      <c r="J249" s="418"/>
      <c r="K249" s="279"/>
      <c r="L249" s="154">
        <f ca="1">L250+L251+L252+L253</f>
        <v>0</v>
      </c>
      <c r="M249" s="154"/>
      <c r="N249" s="154">
        <f>N250+N251+N252+N253</f>
        <v>0</v>
      </c>
      <c r="O249" s="154">
        <f ca="1">IF(L249&gt;0,N249*100/L249,0)</f>
        <v>0</v>
      </c>
      <c r="P249" s="154">
        <f>IF(M249&gt;0,N249*100/M249,0)</f>
        <v>0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8.75" hidden="1">
      <c r="A250" s="314"/>
      <c r="B250" s="315"/>
      <c r="C250" s="316"/>
      <c r="D250" s="324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282">
        <f ca="1">IFERROR(__xludf.DUMMYFUNCTION("IMPORTRANGE(""https://docs.google.com/spreadsheets/d/1QqKyyYR6Q21VydFLVH3TRQUabQu_ym0Zz7PgGX0-kHA/edit?usp=sharing"",""แผน!AZ60"")"),0)</f>
        <v>0</v>
      </c>
      <c r="M250" s="282"/>
      <c r="N250" s="862">
        <v>0</v>
      </c>
      <c r="O250" s="282"/>
      <c r="P250" s="28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2"/>
      <c r="B251" s="315"/>
      <c r="C251" s="323"/>
      <c r="D251" s="324" t="s">
        <v>98</v>
      </c>
      <c r="E251" s="316"/>
      <c r="F251" s="316"/>
      <c r="G251" s="318"/>
      <c r="H251" s="319" t="s">
        <v>12</v>
      </c>
      <c r="I251" s="325"/>
      <c r="J251" s="325"/>
      <c r="K251" s="282"/>
      <c r="L251" s="282">
        <f ca="1">IFERROR(__xludf.DUMMYFUNCTION("IMPORTRANGE(""https://docs.google.com/spreadsheets/d/1QqKyyYR6Q21VydFLVH3TRQUabQu_ym0Zz7PgGX0-kHA/edit?usp=sharing"",""แผน!BA60"")"),0)</f>
        <v>0</v>
      </c>
      <c r="M251" s="282"/>
      <c r="N251" s="862">
        <v>0</v>
      </c>
      <c r="O251" s="282"/>
      <c r="P251" s="282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5"/>
      <c r="C252" s="323"/>
      <c r="D252" s="324" t="s">
        <v>116</v>
      </c>
      <c r="E252" s="316"/>
      <c r="F252" s="316"/>
      <c r="G252" s="318"/>
      <c r="H252" s="319" t="s">
        <v>12</v>
      </c>
      <c r="I252" s="325"/>
      <c r="J252" s="325"/>
      <c r="K252" s="282"/>
      <c r="L252" s="282">
        <f ca="1">IFERROR(__xludf.DUMMYFUNCTION("IMPORTRANGE(""https://docs.google.com/spreadsheets/d/1QqKyyYR6Q21VydFLVH3TRQUabQu_ym0Zz7PgGX0-kHA/edit?usp=sharing"",""แผน!BB60"")"),0)</f>
        <v>0</v>
      </c>
      <c r="M252" s="282"/>
      <c r="N252" s="862">
        <v>0</v>
      </c>
      <c r="O252" s="282"/>
      <c r="P252" s="282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5"/>
      <c r="C253" s="323"/>
      <c r="D253" s="324" t="s">
        <v>100</v>
      </c>
      <c r="E253" s="316"/>
      <c r="F253" s="316"/>
      <c r="G253" s="318"/>
      <c r="H253" s="319" t="s">
        <v>12</v>
      </c>
      <c r="I253" s="325"/>
      <c r="J253" s="325"/>
      <c r="K253" s="282"/>
      <c r="L253" s="282">
        <f ca="1">IFERROR(__xludf.DUMMYFUNCTION("IMPORTRANGE(""https://docs.google.com/spreadsheets/d/1QqKyyYR6Q21VydFLVH3TRQUabQu_ym0Zz7PgGX0-kHA/edit?usp=sharing"",""แผน!BC60"")"),0)</f>
        <v>0</v>
      </c>
      <c r="M253" s="282"/>
      <c r="N253" s="862">
        <v>0</v>
      </c>
      <c r="O253" s="282"/>
      <c r="P253" s="282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69"/>
      <c r="B254" s="170"/>
      <c r="C254" s="292" t="s">
        <v>16</v>
      </c>
      <c r="D254" s="856" t="s">
        <v>38</v>
      </c>
      <c r="E254" s="172"/>
      <c r="F254" s="172"/>
      <c r="G254" s="173"/>
      <c r="H254" s="757"/>
      <c r="I254" s="183"/>
      <c r="J254" s="269"/>
      <c r="K254" s="497"/>
      <c r="L254" s="497"/>
      <c r="M254" s="497"/>
      <c r="N254" s="497"/>
      <c r="O254" s="162"/>
      <c r="P254" s="16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8.75" hidden="1">
      <c r="A255" s="169"/>
      <c r="B255" s="170"/>
      <c r="C255" s="170"/>
      <c r="D255" s="446" t="s">
        <v>117</v>
      </c>
      <c r="E255" s="177"/>
      <c r="F255" s="177"/>
      <c r="G255" s="178"/>
      <c r="H255" s="759" t="s">
        <v>35</v>
      </c>
      <c r="I255" s="269">
        <f ca="1">IFERROR(__xludf.DUMMYFUNCTION("IMPORTRANGE(""https://docs.google.com/spreadsheets/d/1QqKyyYR6Q21VydFLVH3TRQUabQu_ym0Zz7PgGX0-kHA/edit?usp=sharing"",""แผน!BF60"")"),0)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8.75" hidden="1">
      <c r="A256" s="169"/>
      <c r="B256" s="170"/>
      <c r="C256" s="170"/>
      <c r="D256" s="861" t="s">
        <v>43</v>
      </c>
      <c r="E256" s="177"/>
      <c r="F256" s="177"/>
      <c r="G256" s="178"/>
      <c r="H256" s="759"/>
      <c r="I256" s="269"/>
      <c r="J256" s="269"/>
      <c r="K256" s="497"/>
      <c r="L256" s="497"/>
      <c r="M256" s="497"/>
      <c r="N256" s="497"/>
      <c r="O256" s="162"/>
      <c r="P256" s="16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8.75" hidden="1">
      <c r="A257" s="169"/>
      <c r="B257" s="170"/>
      <c r="C257" s="170"/>
      <c r="D257" s="170"/>
      <c r="E257" s="175" t="s">
        <v>118</v>
      </c>
      <c r="F257" s="177"/>
      <c r="G257" s="178"/>
      <c r="H257" s="759" t="s">
        <v>35</v>
      </c>
      <c r="I257" s="269"/>
      <c r="J257" s="214">
        <v>0</v>
      </c>
      <c r="K257" s="497">
        <f>IF(I257&gt;0,J257*100/I257,0)</f>
        <v>0</v>
      </c>
      <c r="L257" s="497"/>
      <c r="M257" s="497"/>
      <c r="N257" s="497"/>
      <c r="O257" s="497"/>
      <c r="P257" s="497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8.75" hidden="1">
      <c r="A258" s="169"/>
      <c r="B258" s="170"/>
      <c r="C258" s="170"/>
      <c r="D258" s="170"/>
      <c r="E258" s="175" t="s">
        <v>119</v>
      </c>
      <c r="F258" s="177"/>
      <c r="G258" s="178"/>
      <c r="H258" s="759" t="s">
        <v>66</v>
      </c>
      <c r="I258" s="269"/>
      <c r="J258" s="214">
        <v>0</v>
      </c>
      <c r="K258" s="497">
        <f>IF(I258&gt;0,J258*100/I258,0)</f>
        <v>0</v>
      </c>
      <c r="L258" s="497"/>
      <c r="M258" s="497"/>
      <c r="N258" s="497"/>
      <c r="O258" s="497"/>
      <c r="P258" s="497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2"/>
      <c r="E260" s="172"/>
      <c r="F260" s="172"/>
      <c r="G260" s="173"/>
      <c r="H260" s="251" t="s">
        <v>35</v>
      </c>
      <c r="I260" s="252">
        <f ca="1">I271</f>
        <v>20</v>
      </c>
      <c r="J260" s="252">
        <f>J271</f>
        <v>20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6"/>
      <c r="B261" s="147"/>
      <c r="C261" s="148" t="s">
        <v>16</v>
      </c>
      <c r="D261" s="855" t="s">
        <v>17</v>
      </c>
      <c r="E261" s="147"/>
      <c r="F261" s="147"/>
      <c r="G261" s="150"/>
      <c r="H261" s="151" t="s">
        <v>12</v>
      </c>
      <c r="I261" s="419"/>
      <c r="J261" s="419"/>
      <c r="K261" s="153"/>
      <c r="L261" s="154">
        <f ca="1">L262+L263</f>
        <v>25000</v>
      </c>
      <c r="M261" s="154">
        <f ca="1">M262+M263</f>
        <v>25000</v>
      </c>
      <c r="N261" s="154">
        <f ca="1">N262+N263</f>
        <v>25000</v>
      </c>
      <c r="O261" s="154">
        <f t="shared" ref="O261:O269" ca="1" si="44">IF(L261&gt;0,N261*100/L261,0)</f>
        <v>100</v>
      </c>
      <c r="P261" s="154">
        <f t="shared" ref="P261:P269" ca="1" si="45">IF(M261&gt;0,N261*100/M261,0)</f>
        <v>100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8.75" hidden="1">
      <c r="A262" s="155"/>
      <c r="B262" s="39"/>
      <c r="C262" s="39"/>
      <c r="D262" s="39"/>
      <c r="E262" s="222" t="s">
        <v>18</v>
      </c>
      <c r="F262" s="39"/>
      <c r="G262" s="156"/>
      <c r="H262" s="157" t="s">
        <v>12</v>
      </c>
      <c r="I262" s="612"/>
      <c r="J262" s="612"/>
      <c r="K262" s="92"/>
      <c r="L262" s="92">
        <f t="shared" ref="L262:N263" si="46">L265+L268</f>
        <v>0</v>
      </c>
      <c r="M262" s="92">
        <f t="shared" si="46"/>
        <v>0</v>
      </c>
      <c r="N262" s="92">
        <f t="shared" si="46"/>
        <v>0</v>
      </c>
      <c r="O262" s="92">
        <f t="shared" si="44"/>
        <v>0</v>
      </c>
      <c r="P262" s="92">
        <f t="shared" si="45"/>
        <v>0</v>
      </c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8.75" hidden="1">
      <c r="A263" s="155"/>
      <c r="B263" s="39"/>
      <c r="C263" s="39"/>
      <c r="D263" s="39"/>
      <c r="E263" s="222" t="s">
        <v>19</v>
      </c>
      <c r="F263" s="39"/>
      <c r="G263" s="156"/>
      <c r="H263" s="157" t="s">
        <v>12</v>
      </c>
      <c r="I263" s="612"/>
      <c r="J263" s="612"/>
      <c r="K263" s="92"/>
      <c r="L263" s="92">
        <f t="shared" ca="1" si="46"/>
        <v>25000</v>
      </c>
      <c r="M263" s="92">
        <f t="shared" ca="1" si="46"/>
        <v>25000</v>
      </c>
      <c r="N263" s="92">
        <f t="shared" ca="1" si="46"/>
        <v>25000</v>
      </c>
      <c r="O263" s="92">
        <f t="shared" ca="1" si="44"/>
        <v>100</v>
      </c>
      <c r="P263" s="92">
        <f t="shared" ca="1" si="45"/>
        <v>100</v>
      </c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8.75">
      <c r="A264" s="158"/>
      <c r="B264" s="32"/>
      <c r="C264" s="281"/>
      <c r="D264" s="33" t="s">
        <v>20</v>
      </c>
      <c r="E264" s="32"/>
      <c r="F264" s="32"/>
      <c r="G264" s="34"/>
      <c r="H264" s="160" t="s">
        <v>12</v>
      </c>
      <c r="I264" s="183"/>
      <c r="J264" s="183"/>
      <c r="K264" s="162"/>
      <c r="L264" s="497">
        <f ca="1">L265+L266</f>
        <v>25000</v>
      </c>
      <c r="M264" s="497">
        <f ca="1">M265+M266</f>
        <v>25000</v>
      </c>
      <c r="N264" s="497">
        <f ca="1">N265+N266</f>
        <v>25000</v>
      </c>
      <c r="O264" s="497">
        <f t="shared" ca="1" si="44"/>
        <v>100</v>
      </c>
      <c r="P264" s="497">
        <f t="shared" ca="1" si="45"/>
        <v>100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9.5" hidden="1">
      <c r="A265" s="155"/>
      <c r="B265" s="39"/>
      <c r="C265" s="163"/>
      <c r="D265" s="39"/>
      <c r="E265" s="222" t="s">
        <v>36</v>
      </c>
      <c r="F265" s="39"/>
      <c r="G265" s="156"/>
      <c r="H265" s="164" t="s">
        <v>12</v>
      </c>
      <c r="I265" s="165"/>
      <c r="J265" s="165"/>
      <c r="K265" s="166"/>
      <c r="L265" s="92">
        <v>0</v>
      </c>
      <c r="M265" s="92">
        <v>0</v>
      </c>
      <c r="N265" s="92">
        <v>0</v>
      </c>
      <c r="O265" s="92">
        <f t="shared" si="44"/>
        <v>0</v>
      </c>
      <c r="P265" s="92">
        <f t="shared" si="45"/>
        <v>0</v>
      </c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9.5" hidden="1">
      <c r="A266" s="155"/>
      <c r="B266" s="39"/>
      <c r="C266" s="163"/>
      <c r="D266" s="39"/>
      <c r="E266" s="222" t="s">
        <v>37</v>
      </c>
      <c r="F266" s="39"/>
      <c r="G266" s="156"/>
      <c r="H266" s="164" t="s">
        <v>12</v>
      </c>
      <c r="I266" s="165"/>
      <c r="J266" s="165"/>
      <c r="K266" s="166"/>
      <c r="L266" s="92">
        <f ca="1">IFERROR(__xludf.DUMMYFUNCTION("IMPORTRANGE(""https://docs.google.com/spreadsheets/d/1MeEWN-I1oV_STSDYn1IFDPWt_1FKiwhDph83XaGc0o0/edit?usp=sharing"",""งบพรบ!CY60"")"),25000)</f>
        <v>25000</v>
      </c>
      <c r="M266" s="92">
        <f ca="1">IFERROR(__xludf.DUMMYFUNCTION("IMPORTRANGE(""https://docs.google.com/spreadsheets/d/1MeEWN-I1oV_STSDYn1IFDPWt_1FKiwhDph83XaGc0o0/edit?usp=sharing"",""งบพรบ!DD60"")"),25000)</f>
        <v>25000</v>
      </c>
      <c r="N266" s="92">
        <f ca="1">IFERROR(__xludf.DUMMYFUNCTION("IMPORTRANGE(""https://docs.google.com/spreadsheets/d/1MeEWN-I1oV_STSDYn1IFDPWt_1FKiwhDph83XaGc0o0/edit?usp=sharing"",""งบพรบ!DF60"")"),25000)</f>
        <v>25000</v>
      </c>
      <c r="O266" s="92">
        <f t="shared" ca="1" si="44"/>
        <v>100</v>
      </c>
      <c r="P266" s="92">
        <f t="shared" ca="1" si="45"/>
        <v>100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8.75">
      <c r="A267" s="158"/>
      <c r="B267" s="32"/>
      <c r="C267" s="281"/>
      <c r="D267" s="33" t="s">
        <v>21</v>
      </c>
      <c r="E267" s="32"/>
      <c r="F267" s="32"/>
      <c r="G267" s="34"/>
      <c r="H267" s="167" t="s">
        <v>12</v>
      </c>
      <c r="I267" s="183"/>
      <c r="J267" s="183"/>
      <c r="K267" s="162"/>
      <c r="L267" s="497">
        <f ca="1">L268+L269</f>
        <v>0</v>
      </c>
      <c r="M267" s="497">
        <f ca="1">M268+M269</f>
        <v>0</v>
      </c>
      <c r="N267" s="497">
        <f ca="1">N268+N269</f>
        <v>0</v>
      </c>
      <c r="O267" s="497">
        <f t="shared" ca="1" si="44"/>
        <v>0</v>
      </c>
      <c r="P267" s="497">
        <f t="shared" ca="1" si="45"/>
        <v>0</v>
      </c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9.5" hidden="1">
      <c r="A268" s="155"/>
      <c r="B268" s="39"/>
      <c r="C268" s="163"/>
      <c r="D268" s="39"/>
      <c r="E268" s="222" t="s">
        <v>18</v>
      </c>
      <c r="F268" s="39"/>
      <c r="G268" s="156"/>
      <c r="H268" s="164" t="s">
        <v>12</v>
      </c>
      <c r="I268" s="165"/>
      <c r="J268" s="165"/>
      <c r="K268" s="166"/>
      <c r="L268" s="92">
        <v>0</v>
      </c>
      <c r="M268" s="92">
        <v>0</v>
      </c>
      <c r="N268" s="92">
        <v>0</v>
      </c>
      <c r="O268" s="92">
        <f t="shared" si="44"/>
        <v>0</v>
      </c>
      <c r="P268" s="92">
        <f t="shared" si="45"/>
        <v>0</v>
      </c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9.5" hidden="1">
      <c r="A269" s="155"/>
      <c r="B269" s="39"/>
      <c r="C269" s="163"/>
      <c r="D269" s="39"/>
      <c r="E269" s="222" t="s">
        <v>19</v>
      </c>
      <c r="F269" s="39"/>
      <c r="G269" s="156"/>
      <c r="H269" s="168" t="s">
        <v>12</v>
      </c>
      <c r="I269" s="165"/>
      <c r="J269" s="165"/>
      <c r="K269" s="166"/>
      <c r="L269" s="92">
        <f ca="1">IFERROR(__xludf.DUMMYFUNCTION("IMPORTRANGE(""https://docs.google.com/spreadsheets/d/1MeEWN-I1oV_STSDYn1IFDPWt_1FKiwhDph83XaGc0o0/edit?usp=sharing"",""งบพรบ!DB60"")"),0)</f>
        <v>0</v>
      </c>
      <c r="M269" s="92">
        <f ca="1">IFERROR(__xludf.DUMMYFUNCTION("IMPORTRANGE(""https://docs.google.com/spreadsheets/d/1MeEWN-I1oV_STSDYn1IFDPWt_1FKiwhDph83XaGc0o0/edit?usp=sharing"",""งบพรบ!DE60"")"),0)</f>
        <v>0</v>
      </c>
      <c r="N269" s="92">
        <f ca="1">IFERROR(__xludf.DUMMYFUNCTION("IMPORTRANGE(""https://docs.google.com/spreadsheets/d/1MeEWN-I1oV_STSDYn1IFDPWt_1FKiwhDph83XaGc0o0/edit?usp=sharing"",""งบพรบ!DG60"")"),0)</f>
        <v>0</v>
      </c>
      <c r="O269" s="92">
        <f t="shared" ca="1" si="44"/>
        <v>0</v>
      </c>
      <c r="P269" s="92">
        <f t="shared" ca="1" si="45"/>
        <v>0</v>
      </c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9.5">
      <c r="A270" s="169"/>
      <c r="B270" s="170"/>
      <c r="C270" s="281" t="s">
        <v>16</v>
      </c>
      <c r="D270" s="856" t="s">
        <v>38</v>
      </c>
      <c r="E270" s="172"/>
      <c r="F270" s="172"/>
      <c r="G270" s="173"/>
      <c r="H270" s="757"/>
      <c r="I270" s="183"/>
      <c r="J270" s="183"/>
      <c r="K270" s="162"/>
      <c r="L270" s="162"/>
      <c r="M270" s="162"/>
      <c r="N270" s="162"/>
      <c r="O270" s="162"/>
      <c r="P270" s="162"/>
    </row>
    <row r="271" spans="1:26" ht="18.75">
      <c r="A271" s="169"/>
      <c r="B271" s="170"/>
      <c r="C271" s="170"/>
      <c r="D271" s="375" t="s">
        <v>124</v>
      </c>
      <c r="E271" s="177"/>
      <c r="F271" s="366"/>
      <c r="G271" s="178"/>
      <c r="H271" s="376" t="s">
        <v>35</v>
      </c>
      <c r="I271" s="269">
        <f ca="1">IFERROR(__xludf.DUMMYFUNCTION("IMPORTRANGE(""https://docs.google.com/spreadsheets/d/1QqKyyYR6Q21VydFLVH3TRQUabQu_ym0Zz7PgGX0-kHA/edit?usp=sharing"",""แผน!EA60"")"),20)</f>
        <v>20</v>
      </c>
      <c r="J271" s="214">
        <v>20</v>
      </c>
      <c r="K271" s="162">
        <f ca="1">IF(I271&gt;0,J271*100/I271,0)</f>
        <v>100</v>
      </c>
      <c r="L271" s="162"/>
      <c r="M271" s="162"/>
      <c r="N271" s="162"/>
      <c r="O271" s="162"/>
      <c r="P271" s="162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49" t="s">
        <v>35</v>
      </c>
      <c r="I272" s="501">
        <v>0</v>
      </c>
      <c r="J272" s="501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ca="1">I288</f>
        <v>0</v>
      </c>
      <c r="J275" s="405">
        <f ca="1">J288</f>
        <v>0</v>
      </c>
      <c r="K275" s="406">
        <f ca="1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60">
        <f ca="1">I287</f>
        <v>0</v>
      </c>
      <c r="J276" s="860">
        <f>J287</f>
        <v>0</v>
      </c>
      <c r="K276" s="407">
        <f ca="1">IF(I276&gt;0,J276*100/I276,0)</f>
        <v>0</v>
      </c>
      <c r="L276" s="407"/>
      <c r="M276" s="407"/>
      <c r="N276" s="407"/>
      <c r="O276" s="407"/>
      <c r="P276" s="407"/>
    </row>
    <row r="277" spans="1:26" ht="19.5" hidden="1">
      <c r="A277" s="146"/>
      <c r="B277" s="147"/>
      <c r="C277" s="148" t="s">
        <v>16</v>
      </c>
      <c r="D277" s="855" t="s">
        <v>17</v>
      </c>
      <c r="E277" s="147"/>
      <c r="F277" s="147"/>
      <c r="G277" s="150"/>
      <c r="H277" s="151" t="s">
        <v>12</v>
      </c>
      <c r="I277" s="419"/>
      <c r="J277" s="419"/>
      <c r="K277" s="153"/>
      <c r="L277" s="154">
        <f ca="1">L278+L279</f>
        <v>0</v>
      </c>
      <c r="M277" s="154">
        <f ca="1">M278+M279</f>
        <v>0</v>
      </c>
      <c r="N277" s="154">
        <f ca="1">N278+N279</f>
        <v>0</v>
      </c>
      <c r="O277" s="154">
        <f t="shared" ref="O277:O285" ca="1" si="47">IF(L277&gt;0,N277*100/L277,0)</f>
        <v>0</v>
      </c>
      <c r="P277" s="154">
        <f t="shared" ref="P277:P285" ca="1" si="48">IF(M277&gt;0,N277*100/M277,0)</f>
        <v>0</v>
      </c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8.75" hidden="1">
      <c r="A278" s="155"/>
      <c r="B278" s="39"/>
      <c r="C278" s="39"/>
      <c r="D278" s="39"/>
      <c r="E278" s="222" t="s">
        <v>18</v>
      </c>
      <c r="F278" s="39"/>
      <c r="G278" s="156"/>
      <c r="H278" s="157" t="s">
        <v>12</v>
      </c>
      <c r="I278" s="612"/>
      <c r="J278" s="612"/>
      <c r="K278" s="92"/>
      <c r="L278" s="92">
        <f t="shared" ref="L278:N279" si="49">L281+L284</f>
        <v>0</v>
      </c>
      <c r="M278" s="92">
        <f t="shared" si="49"/>
        <v>0</v>
      </c>
      <c r="N278" s="92">
        <f t="shared" si="49"/>
        <v>0</v>
      </c>
      <c r="O278" s="92">
        <f t="shared" si="47"/>
        <v>0</v>
      </c>
      <c r="P278" s="92">
        <f t="shared" si="48"/>
        <v>0</v>
      </c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8.75" hidden="1">
      <c r="A279" s="155"/>
      <c r="B279" s="39"/>
      <c r="C279" s="39"/>
      <c r="D279" s="39"/>
      <c r="E279" s="222" t="s">
        <v>19</v>
      </c>
      <c r="F279" s="39"/>
      <c r="G279" s="156"/>
      <c r="H279" s="157" t="s">
        <v>12</v>
      </c>
      <c r="I279" s="612"/>
      <c r="J279" s="612"/>
      <c r="K279" s="92"/>
      <c r="L279" s="92">
        <f t="shared" ca="1" si="49"/>
        <v>0</v>
      </c>
      <c r="M279" s="92">
        <f t="shared" ca="1" si="49"/>
        <v>0</v>
      </c>
      <c r="N279" s="92">
        <f t="shared" ca="1" si="49"/>
        <v>0</v>
      </c>
      <c r="O279" s="92">
        <f t="shared" ca="1" si="47"/>
        <v>0</v>
      </c>
      <c r="P279" s="92">
        <f t="shared" ca="1" si="48"/>
        <v>0</v>
      </c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8.75" hidden="1">
      <c r="A280" s="158"/>
      <c r="B280" s="32"/>
      <c r="C280" s="281"/>
      <c r="D280" s="33" t="s">
        <v>20</v>
      </c>
      <c r="E280" s="32"/>
      <c r="F280" s="32"/>
      <c r="G280" s="34"/>
      <c r="H280" s="160" t="s">
        <v>12</v>
      </c>
      <c r="I280" s="183"/>
      <c r="J280" s="183"/>
      <c r="K280" s="162"/>
      <c r="L280" s="497">
        <f ca="1">L281+L282</f>
        <v>0</v>
      </c>
      <c r="M280" s="497">
        <f ca="1">M281+M282</f>
        <v>0</v>
      </c>
      <c r="N280" s="497">
        <f ca="1">N281+N282</f>
        <v>0</v>
      </c>
      <c r="O280" s="497">
        <f t="shared" ca="1" si="47"/>
        <v>0</v>
      </c>
      <c r="P280" s="497">
        <f t="shared" ca="1" si="48"/>
        <v>0</v>
      </c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9.5" hidden="1">
      <c r="A281" s="155"/>
      <c r="B281" s="39"/>
      <c r="C281" s="163"/>
      <c r="D281" s="39"/>
      <c r="E281" s="222" t="s">
        <v>36</v>
      </c>
      <c r="F281" s="39"/>
      <c r="G281" s="156"/>
      <c r="H281" s="164" t="s">
        <v>12</v>
      </c>
      <c r="I281" s="165"/>
      <c r="J281" s="165"/>
      <c r="K281" s="166"/>
      <c r="L281" s="92">
        <v>0</v>
      </c>
      <c r="M281" s="92">
        <v>0</v>
      </c>
      <c r="N281" s="92">
        <v>0</v>
      </c>
      <c r="O281" s="92">
        <f t="shared" si="47"/>
        <v>0</v>
      </c>
      <c r="P281" s="92">
        <f t="shared" si="48"/>
        <v>0</v>
      </c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9.5" hidden="1">
      <c r="A282" s="155"/>
      <c r="B282" s="39"/>
      <c r="C282" s="163"/>
      <c r="D282" s="39"/>
      <c r="E282" s="222" t="s">
        <v>37</v>
      </c>
      <c r="F282" s="39"/>
      <c r="G282" s="156"/>
      <c r="H282" s="164" t="s">
        <v>12</v>
      </c>
      <c r="I282" s="165"/>
      <c r="J282" s="165"/>
      <c r="K282" s="166"/>
      <c r="L282" s="92">
        <f ca="1">IFERROR(__xludf.DUMMYFUNCTION("IMPORTRANGE(""https://docs.google.com/spreadsheets/d/1MeEWN-I1oV_STSDYn1IFDPWt_1FKiwhDph83XaGc0o0/edit?usp=sharing"",""งบพรบ!DI60"")"),0)</f>
        <v>0</v>
      </c>
      <c r="M282" s="92">
        <f ca="1">IFERROR(__xludf.DUMMYFUNCTION("IMPORTRANGE(""https://docs.google.com/spreadsheets/d/1MeEWN-I1oV_STSDYn1IFDPWt_1FKiwhDph83XaGc0o0/edit?usp=sharing"",""งบพรบ!DN60"")"),0)</f>
        <v>0</v>
      </c>
      <c r="N282" s="92">
        <f ca="1">IFERROR(__xludf.DUMMYFUNCTION("IMPORTRANGE(""https://docs.google.com/spreadsheets/d/1MeEWN-I1oV_STSDYn1IFDPWt_1FKiwhDph83XaGc0o0/edit?usp=sharing"",""งบพรบ!DP60"")"),0)</f>
        <v>0</v>
      </c>
      <c r="O282" s="92">
        <f t="shared" ca="1" si="47"/>
        <v>0</v>
      </c>
      <c r="P282" s="92">
        <f t="shared" ca="1" si="48"/>
        <v>0</v>
      </c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8.75" hidden="1">
      <c r="A283" s="158"/>
      <c r="B283" s="32"/>
      <c r="C283" s="281"/>
      <c r="D283" s="33" t="s">
        <v>21</v>
      </c>
      <c r="E283" s="32"/>
      <c r="F283" s="32"/>
      <c r="G283" s="34"/>
      <c r="H283" s="167" t="s">
        <v>12</v>
      </c>
      <c r="I283" s="183"/>
      <c r="J283" s="183"/>
      <c r="K283" s="162"/>
      <c r="L283" s="497">
        <f ca="1">L284+L285</f>
        <v>0</v>
      </c>
      <c r="M283" s="497">
        <f ca="1">M284+M285</f>
        <v>0</v>
      </c>
      <c r="N283" s="497">
        <f ca="1">N284+N285</f>
        <v>0</v>
      </c>
      <c r="O283" s="497">
        <f t="shared" ca="1" si="47"/>
        <v>0</v>
      </c>
      <c r="P283" s="497">
        <f t="shared" ca="1" si="48"/>
        <v>0</v>
      </c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9.5" hidden="1">
      <c r="A284" s="155"/>
      <c r="B284" s="39"/>
      <c r="C284" s="163"/>
      <c r="D284" s="39"/>
      <c r="E284" s="222" t="s">
        <v>18</v>
      </c>
      <c r="F284" s="39"/>
      <c r="G284" s="156"/>
      <c r="H284" s="164" t="s">
        <v>12</v>
      </c>
      <c r="I284" s="165"/>
      <c r="J284" s="165"/>
      <c r="K284" s="166"/>
      <c r="L284" s="92">
        <v>0</v>
      </c>
      <c r="M284" s="92">
        <v>0</v>
      </c>
      <c r="N284" s="92">
        <v>0</v>
      </c>
      <c r="O284" s="92">
        <f t="shared" si="47"/>
        <v>0</v>
      </c>
      <c r="P284" s="92">
        <f t="shared" si="48"/>
        <v>0</v>
      </c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9.5" hidden="1">
      <c r="A285" s="155"/>
      <c r="B285" s="39"/>
      <c r="C285" s="163"/>
      <c r="D285" s="39"/>
      <c r="E285" s="222" t="s">
        <v>19</v>
      </c>
      <c r="F285" s="39"/>
      <c r="G285" s="156"/>
      <c r="H285" s="168" t="s">
        <v>12</v>
      </c>
      <c r="I285" s="165"/>
      <c r="J285" s="165"/>
      <c r="K285" s="166"/>
      <c r="L285" s="92">
        <f ca="1">IFERROR(__xludf.DUMMYFUNCTION("IMPORTRANGE(""https://docs.google.com/spreadsheets/d/1MeEWN-I1oV_STSDYn1IFDPWt_1FKiwhDph83XaGc0o0/edit?usp=sharing"",""งบพรบ!DL60"")"),0)</f>
        <v>0</v>
      </c>
      <c r="M285" s="92">
        <f ca="1">IFERROR(__xludf.DUMMYFUNCTION("IMPORTRANGE(""https://docs.google.com/spreadsheets/d/1MeEWN-I1oV_STSDYn1IFDPWt_1FKiwhDph83XaGc0o0/edit?usp=sharing"",""งบพรบ!DO60"")"),0)</f>
        <v>0</v>
      </c>
      <c r="N285" s="92">
        <f ca="1">IFERROR(__xludf.DUMMYFUNCTION("IMPORTRANGE(""https://docs.google.com/spreadsheets/d/1MeEWN-I1oV_STSDYn1IFDPWt_1FKiwhDph83XaGc0o0/edit?usp=sharing"",""งบพรบ!DQ60"")"),0)</f>
        <v>0</v>
      </c>
      <c r="O285" s="92">
        <f t="shared" ca="1" si="47"/>
        <v>0</v>
      </c>
      <c r="P285" s="92">
        <f t="shared" ca="1" si="48"/>
        <v>0</v>
      </c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9.5" hidden="1">
      <c r="A286" s="169"/>
      <c r="B286" s="170"/>
      <c r="C286" s="163" t="s">
        <v>16</v>
      </c>
      <c r="D286" s="856" t="s">
        <v>38</v>
      </c>
      <c r="E286" s="172"/>
      <c r="F286" s="172"/>
      <c r="G286" s="173"/>
      <c r="H286" s="757"/>
      <c r="I286" s="183"/>
      <c r="J286" s="183"/>
      <c r="K286" s="162"/>
      <c r="L286" s="162"/>
      <c r="M286" s="162"/>
      <c r="N286" s="162"/>
      <c r="O286" s="162"/>
      <c r="P286" s="162"/>
    </row>
    <row r="287" spans="1:26" ht="18.75" hidden="1">
      <c r="A287" s="169"/>
      <c r="B287" s="170"/>
      <c r="C287" s="170"/>
      <c r="D287" s="621" t="s">
        <v>129</v>
      </c>
      <c r="E287" s="170"/>
      <c r="F287" s="177"/>
      <c r="G287" s="178"/>
      <c r="H287" s="184" t="s">
        <v>46</v>
      </c>
      <c r="I287" s="269">
        <f ca="1">IFERROR(__xludf.DUMMYFUNCTION("IMPORTRANGE(""https://docs.google.com/spreadsheets/d/1QqKyyYR6Q21VydFLVH3TRQUabQu_ym0Zz7PgGX0-kHA/edit?usp=sharing"",""แผน!EC60"")"),0)</f>
        <v>0</v>
      </c>
      <c r="J287" s="269">
        <v>0</v>
      </c>
      <c r="K287" s="162">
        <f ca="1">IF(I287&gt;0,J287*100/I287,0)</f>
        <v>0</v>
      </c>
      <c r="L287" s="162"/>
      <c r="M287" s="162"/>
      <c r="N287" s="162"/>
      <c r="O287" s="162"/>
      <c r="P287" s="162"/>
    </row>
    <row r="288" spans="1:26" ht="19.5" hidden="1">
      <c r="A288" s="169"/>
      <c r="B288" s="170"/>
      <c r="C288" s="170"/>
      <c r="D288" s="621" t="s">
        <v>130</v>
      </c>
      <c r="E288" s="170"/>
      <c r="F288" s="177"/>
      <c r="G288" s="178"/>
      <c r="H288" s="179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0">
        <f ca="1">IF(I288&gt;0,J288*100/I288,0)</f>
        <v>0</v>
      </c>
      <c r="L288" s="162"/>
      <c r="M288" s="162"/>
      <c r="N288" s="162"/>
      <c r="O288" s="162"/>
      <c r="P288" s="162"/>
    </row>
    <row r="289" spans="1:26" ht="19.5" hidden="1">
      <c r="A289" s="169"/>
      <c r="B289" s="170"/>
      <c r="C289" s="170"/>
      <c r="D289" s="411"/>
      <c r="E289" s="412" t="s">
        <v>131</v>
      </c>
      <c r="F289" s="177"/>
      <c r="G289" s="178"/>
      <c r="H289" s="759"/>
      <c r="I289" s="183"/>
      <c r="J289" s="269"/>
      <c r="K289" s="162"/>
      <c r="L289" s="162"/>
      <c r="M289" s="162"/>
      <c r="N289" s="162"/>
      <c r="O289" s="162"/>
      <c r="P289" s="162"/>
    </row>
    <row r="290" spans="1:26" ht="19.5" hidden="1">
      <c r="A290" s="169"/>
      <c r="B290" s="170"/>
      <c r="C290" s="170"/>
      <c r="D290" s="411"/>
      <c r="E290" s="621" t="s">
        <v>132</v>
      </c>
      <c r="F290" s="177"/>
      <c r="G290" s="178"/>
      <c r="H290" s="759" t="s">
        <v>35</v>
      </c>
      <c r="I290" s="183">
        <f ca="1">IFERROR(__xludf.DUMMYFUNCTION("IMPORTRANGE(""https://docs.google.com/spreadsheets/d/1QqKyyYR6Q21VydFLVH3TRQUabQu_ym0Zz7PgGX0-kHA/edit?usp=sharing"",""แผน!EB60"")"),0)</f>
        <v>0</v>
      </c>
      <c r="J290" s="214">
        <v>0</v>
      </c>
      <c r="K290" s="162">
        <f ca="1">IF(I290&gt;0,J290*100/I290,0)</f>
        <v>0</v>
      </c>
      <c r="L290" s="162"/>
      <c r="M290" s="162"/>
      <c r="N290" s="162"/>
      <c r="O290" s="162"/>
      <c r="P290" s="162"/>
    </row>
    <row r="291" spans="1:26" ht="19.5" hidden="1">
      <c r="A291" s="169"/>
      <c r="B291" s="170"/>
      <c r="C291" s="170"/>
      <c r="D291" s="177"/>
      <c r="E291" s="621" t="s">
        <v>333</v>
      </c>
      <c r="F291" s="177"/>
      <c r="G291" s="178"/>
      <c r="H291" s="759" t="s">
        <v>35</v>
      </c>
      <c r="I291" s="183">
        <f ca="1">IFERROR(__xludf.DUMMYFUNCTION("IMPORTRANGE(""https://docs.google.com/spreadsheets/d/1QqKyyYR6Q21VydFLVH3TRQUabQu_ym0Zz7PgGX0-kHA/edit?usp=sharing"",""แผน!EB60"")"),0)</f>
        <v>0</v>
      </c>
      <c r="J291" s="214">
        <v>0</v>
      </c>
      <c r="K291" s="162">
        <f ca="1">IF(I291&gt;0,J291*100/I291,0)</f>
        <v>0</v>
      </c>
      <c r="L291" s="162"/>
      <c r="M291" s="162"/>
      <c r="N291" s="162"/>
      <c r="O291" s="162"/>
      <c r="P291" s="162"/>
    </row>
    <row r="292" spans="1:26" ht="19.5" hidden="1">
      <c r="A292" s="413"/>
      <c r="B292" s="414"/>
      <c r="C292" s="414"/>
      <c r="D292" s="415"/>
      <c r="E292" s="416" t="s">
        <v>134</v>
      </c>
      <c r="F292" s="287"/>
      <c r="G292" s="288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69"/>
      <c r="B293" s="170"/>
      <c r="C293" s="170"/>
      <c r="D293" s="411"/>
      <c r="E293" s="621" t="s">
        <v>132</v>
      </c>
      <c r="F293" s="177"/>
      <c r="G293" s="178"/>
      <c r="H293" s="759" t="s">
        <v>35</v>
      </c>
      <c r="I293" s="183">
        <f ca="1">IFERROR(__xludf.DUMMYFUNCTION("IMPORTRANGE(""https://docs.google.com/spreadsheets/d/1QqKyyYR6Q21VydFLVH3TRQUabQu_ym0Zz7PgGX0-kHA/edit?usp=sharing"",""แผน!EB60"")"),0)</f>
        <v>0</v>
      </c>
      <c r="J293" s="214">
        <v>0</v>
      </c>
      <c r="K293" s="162">
        <f ca="1">IF(I293&gt;0,J293*100/I293,0)</f>
        <v>0</v>
      </c>
      <c r="L293" s="162"/>
      <c r="M293" s="162"/>
      <c r="N293" s="162"/>
      <c r="O293" s="162"/>
      <c r="P293" s="162"/>
    </row>
    <row r="294" spans="1:26" ht="19.5" hidden="1">
      <c r="A294" s="377"/>
      <c r="B294" s="378"/>
      <c r="C294" s="378"/>
      <c r="D294" s="380"/>
      <c r="E294" s="729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IFERROR(__xludf.DUMMYFUNCTION("IMPORTRANGE(""https://docs.google.com/spreadsheets/d/1QqKyyYR6Q21VydFLVH3TRQUabQu_ym0Zz7PgGX0-kHA/edit?usp=sharing"",""แผน!EB60"")"),0)</f>
        <v>0</v>
      </c>
      <c r="J294" s="423">
        <v>0</v>
      </c>
      <c r="K294" s="384">
        <f ca="1">IF(I294&gt;0,J294*100/I294,0)</f>
        <v>0</v>
      </c>
      <c r="L294" s="384"/>
      <c r="M294" s="384"/>
      <c r="N294" s="384"/>
      <c r="O294" s="384"/>
      <c r="P294" s="384"/>
    </row>
    <row r="295" spans="1:26" ht="19.5" hidden="1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ca="1">I309</f>
        <v>0</v>
      </c>
      <c r="J297" s="443">
        <f>J309</f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6"/>
      <c r="B298" s="147"/>
      <c r="C298" s="148" t="s">
        <v>16</v>
      </c>
      <c r="D298" s="855" t="s">
        <v>17</v>
      </c>
      <c r="E298" s="147"/>
      <c r="F298" s="147"/>
      <c r="G298" s="150"/>
      <c r="H298" s="151" t="s">
        <v>12</v>
      </c>
      <c r="I298" s="419"/>
      <c r="J298" s="419"/>
      <c r="K298" s="153"/>
      <c r="L298" s="154">
        <f ca="1">L299+L300</f>
        <v>0</v>
      </c>
      <c r="M298" s="154">
        <f ca="1">M299+M300</f>
        <v>0</v>
      </c>
      <c r="N298" s="154">
        <f ca="1">N299+N300</f>
        <v>0</v>
      </c>
      <c r="O298" s="154">
        <f t="shared" ref="O298:O306" ca="1" si="50">IF(L298&gt;0,N298*100/L298,0)</f>
        <v>0</v>
      </c>
      <c r="P298" s="154">
        <f t="shared" ref="P298:P306" ca="1" si="51">IF(M298&gt;0,N298*100/M298,0)</f>
        <v>0</v>
      </c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8.75" hidden="1">
      <c r="A299" s="155"/>
      <c r="B299" s="39"/>
      <c r="C299" s="39"/>
      <c r="D299" s="39"/>
      <c r="E299" s="222" t="s">
        <v>18</v>
      </c>
      <c r="F299" s="39"/>
      <c r="G299" s="156"/>
      <c r="H299" s="157" t="s">
        <v>12</v>
      </c>
      <c r="I299" s="612"/>
      <c r="J299" s="612"/>
      <c r="K299" s="92"/>
      <c r="L299" s="92">
        <f t="shared" ref="L299:N300" si="52">L302+L305</f>
        <v>0</v>
      </c>
      <c r="M299" s="92">
        <f t="shared" si="52"/>
        <v>0</v>
      </c>
      <c r="N299" s="92">
        <f t="shared" si="52"/>
        <v>0</v>
      </c>
      <c r="O299" s="92">
        <f t="shared" si="50"/>
        <v>0</v>
      </c>
      <c r="P299" s="92">
        <f t="shared" si="51"/>
        <v>0</v>
      </c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8.75" hidden="1">
      <c r="A300" s="155"/>
      <c r="B300" s="39"/>
      <c r="C300" s="39"/>
      <c r="D300" s="39"/>
      <c r="E300" s="222" t="s">
        <v>19</v>
      </c>
      <c r="F300" s="39"/>
      <c r="G300" s="156"/>
      <c r="H300" s="157" t="s">
        <v>12</v>
      </c>
      <c r="I300" s="612"/>
      <c r="J300" s="612"/>
      <c r="K300" s="92"/>
      <c r="L300" s="92">
        <f t="shared" ca="1" si="52"/>
        <v>0</v>
      </c>
      <c r="M300" s="92">
        <f t="shared" ca="1" si="52"/>
        <v>0</v>
      </c>
      <c r="N300" s="92">
        <f t="shared" ca="1" si="52"/>
        <v>0</v>
      </c>
      <c r="O300" s="92">
        <f t="shared" ca="1" si="50"/>
        <v>0</v>
      </c>
      <c r="P300" s="92">
        <f t="shared" ca="1" si="51"/>
        <v>0</v>
      </c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8.75" hidden="1">
      <c r="A301" s="158"/>
      <c r="B301" s="32"/>
      <c r="C301" s="281"/>
      <c r="D301" s="33" t="s">
        <v>20</v>
      </c>
      <c r="E301" s="32"/>
      <c r="F301" s="32"/>
      <c r="G301" s="34"/>
      <c r="H301" s="160" t="s">
        <v>12</v>
      </c>
      <c r="I301" s="183"/>
      <c r="J301" s="183"/>
      <c r="K301" s="162"/>
      <c r="L301" s="497">
        <f ca="1">L302+L303</f>
        <v>0</v>
      </c>
      <c r="M301" s="497">
        <f ca="1">M302+M303</f>
        <v>0</v>
      </c>
      <c r="N301" s="497">
        <f ca="1">N302+N303</f>
        <v>0</v>
      </c>
      <c r="O301" s="497">
        <f t="shared" ca="1" si="50"/>
        <v>0</v>
      </c>
      <c r="P301" s="497">
        <f t="shared" ca="1" si="51"/>
        <v>0</v>
      </c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9.5" hidden="1">
      <c r="A302" s="155"/>
      <c r="B302" s="39"/>
      <c r="C302" s="163"/>
      <c r="D302" s="39"/>
      <c r="E302" s="222" t="s">
        <v>36</v>
      </c>
      <c r="F302" s="39"/>
      <c r="G302" s="156"/>
      <c r="H302" s="164" t="s">
        <v>12</v>
      </c>
      <c r="I302" s="165"/>
      <c r="J302" s="165"/>
      <c r="K302" s="166"/>
      <c r="L302" s="92">
        <v>0</v>
      </c>
      <c r="M302" s="92">
        <v>0</v>
      </c>
      <c r="N302" s="92">
        <v>0</v>
      </c>
      <c r="O302" s="92">
        <f t="shared" si="50"/>
        <v>0</v>
      </c>
      <c r="P302" s="92">
        <f t="shared" si="51"/>
        <v>0</v>
      </c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9.5" hidden="1">
      <c r="A303" s="155"/>
      <c r="B303" s="39"/>
      <c r="C303" s="163"/>
      <c r="D303" s="39"/>
      <c r="E303" s="222" t="s">
        <v>37</v>
      </c>
      <c r="F303" s="39"/>
      <c r="G303" s="156"/>
      <c r="H303" s="164" t="s">
        <v>12</v>
      </c>
      <c r="I303" s="165"/>
      <c r="J303" s="165"/>
      <c r="K303" s="166"/>
      <c r="L303" s="92">
        <f ca="1">IFERROR(__xludf.DUMMYFUNCTION("IMPORTRANGE(""https://docs.google.com/spreadsheets/d/1MeEWN-I1oV_STSDYn1IFDPWt_1FKiwhDph83XaGc0o0/edit?usp=sharing"",""งบพรบ!DS60"")"),0)</f>
        <v>0</v>
      </c>
      <c r="M303" s="92">
        <f ca="1">IFERROR(__xludf.DUMMYFUNCTION("IMPORTRANGE(""https://docs.google.com/spreadsheets/d/1MeEWN-I1oV_STSDYn1IFDPWt_1FKiwhDph83XaGc0o0/edit?usp=sharing"",""งบพรบ!DX60"")"),0)</f>
        <v>0</v>
      </c>
      <c r="N303" s="92">
        <f ca="1">IFERROR(__xludf.DUMMYFUNCTION("IMPORTRANGE(""https://docs.google.com/spreadsheets/d/1MeEWN-I1oV_STSDYn1IFDPWt_1FKiwhDph83XaGc0o0/edit?usp=sharing"",""งบพรบ!DZ60"")"),0)</f>
        <v>0</v>
      </c>
      <c r="O303" s="92">
        <f t="shared" ca="1" si="50"/>
        <v>0</v>
      </c>
      <c r="P303" s="92">
        <f t="shared" ca="1" si="51"/>
        <v>0</v>
      </c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8.75" hidden="1">
      <c r="A304" s="158"/>
      <c r="B304" s="32"/>
      <c r="C304" s="281"/>
      <c r="D304" s="33" t="s">
        <v>21</v>
      </c>
      <c r="E304" s="32"/>
      <c r="F304" s="32"/>
      <c r="G304" s="34"/>
      <c r="H304" s="167" t="s">
        <v>12</v>
      </c>
      <c r="I304" s="183"/>
      <c r="J304" s="183"/>
      <c r="K304" s="162"/>
      <c r="L304" s="497">
        <f ca="1">L305+L306</f>
        <v>0</v>
      </c>
      <c r="M304" s="497">
        <f ca="1">M305+M306</f>
        <v>0</v>
      </c>
      <c r="N304" s="497">
        <f ca="1">N305+N306</f>
        <v>0</v>
      </c>
      <c r="O304" s="497">
        <f t="shared" ca="1" si="50"/>
        <v>0</v>
      </c>
      <c r="P304" s="497">
        <f t="shared" ca="1" si="51"/>
        <v>0</v>
      </c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9.5" hidden="1">
      <c r="A305" s="155"/>
      <c r="B305" s="39"/>
      <c r="C305" s="163"/>
      <c r="D305" s="39"/>
      <c r="E305" s="222" t="s">
        <v>18</v>
      </c>
      <c r="F305" s="39"/>
      <c r="G305" s="156"/>
      <c r="H305" s="164" t="s">
        <v>12</v>
      </c>
      <c r="I305" s="165"/>
      <c r="J305" s="165"/>
      <c r="K305" s="166"/>
      <c r="L305" s="92">
        <v>0</v>
      </c>
      <c r="M305" s="92">
        <v>0</v>
      </c>
      <c r="N305" s="92">
        <v>0</v>
      </c>
      <c r="O305" s="92">
        <f t="shared" si="50"/>
        <v>0</v>
      </c>
      <c r="P305" s="92">
        <f t="shared" si="51"/>
        <v>0</v>
      </c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9.5" hidden="1">
      <c r="A306" s="155"/>
      <c r="B306" s="39"/>
      <c r="C306" s="163"/>
      <c r="D306" s="39"/>
      <c r="E306" s="222" t="s">
        <v>19</v>
      </c>
      <c r="F306" s="39"/>
      <c r="G306" s="156"/>
      <c r="H306" s="168" t="s">
        <v>12</v>
      </c>
      <c r="I306" s="165"/>
      <c r="J306" s="165"/>
      <c r="K306" s="166"/>
      <c r="L306" s="92">
        <f ca="1">IFERROR(__xludf.DUMMYFUNCTION("IMPORTRANGE(""https://docs.google.com/spreadsheets/d/1MeEWN-I1oV_STSDYn1IFDPWt_1FKiwhDph83XaGc0o0/edit?usp=sharing"",""งบพรบ!DV60"")"),0)</f>
        <v>0</v>
      </c>
      <c r="M306" s="92">
        <f ca="1">IFERROR(__xludf.DUMMYFUNCTION("IMPORTRANGE(""https://docs.google.com/spreadsheets/d/1MeEWN-I1oV_STSDYn1IFDPWt_1FKiwhDph83XaGc0o0/edit?usp=sharing"",""งบพรบ!DY60"")"),0)</f>
        <v>0</v>
      </c>
      <c r="N306" s="92">
        <f ca="1">IFERROR(__xludf.DUMMYFUNCTION("IMPORTRANGE(""https://docs.google.com/spreadsheets/d/1MeEWN-I1oV_STSDYn1IFDPWt_1FKiwhDph83XaGc0o0/edit?usp=sharing"",""งบพรบ!EA60"")"),0)</f>
        <v>0</v>
      </c>
      <c r="O306" s="92">
        <f t="shared" ca="1" si="50"/>
        <v>0</v>
      </c>
      <c r="P306" s="92">
        <f t="shared" ca="1" si="51"/>
        <v>0</v>
      </c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9.5" hidden="1">
      <c r="A307" s="169"/>
      <c r="B307" s="170"/>
      <c r="C307" s="163" t="s">
        <v>16</v>
      </c>
      <c r="D307" s="856" t="s">
        <v>38</v>
      </c>
      <c r="E307" s="172"/>
      <c r="F307" s="172"/>
      <c r="G307" s="173"/>
      <c r="H307" s="757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69"/>
      <c r="B308" s="170"/>
      <c r="C308" s="170"/>
      <c r="D308" s="446" t="s">
        <v>140</v>
      </c>
      <c r="E308" s="446"/>
      <c r="F308" s="446"/>
      <c r="G308" s="178"/>
      <c r="H308" s="759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69"/>
      <c r="B309" s="170"/>
      <c r="C309" s="170"/>
      <c r="D309" s="446" t="s">
        <v>141</v>
      </c>
      <c r="E309" s="446"/>
      <c r="F309" s="446"/>
      <c r="G309" s="178"/>
      <c r="H309" s="759" t="s">
        <v>35</v>
      </c>
      <c r="I309" s="269">
        <f ca="1">IFERROR(__xludf.DUMMYFUNCTION("IMPORTRANGE(""https://docs.google.com/spreadsheets/d/1QqKyyYR6Q21VydFLVH3TRQUabQu_ym0Zz7PgGX0-kHA/edit?usp=sharing"",""แผน!ED60"")"),0)</f>
        <v>0</v>
      </c>
      <c r="J309" s="214">
        <v>0</v>
      </c>
      <c r="K309" s="497">
        <f ca="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69"/>
      <c r="B310" s="170"/>
      <c r="C310" s="170"/>
      <c r="D310" s="446" t="s">
        <v>142</v>
      </c>
      <c r="E310" s="446"/>
      <c r="F310" s="446"/>
      <c r="G310" s="178"/>
      <c r="H310" s="759" t="s">
        <v>35</v>
      </c>
      <c r="I310" s="269">
        <f ca="1">IFERROR(__xludf.DUMMYFUNCTION("IMPORTRANGE(""https://docs.google.com/spreadsheets/d/1QqKyyYR6Q21VydFLVH3TRQUabQu_ym0Zz7PgGX0-kHA/edit?usp=sharing"",""แผน!ED60"")"),0)</f>
        <v>0</v>
      </c>
      <c r="J310" s="214">
        <v>0</v>
      </c>
      <c r="K310" s="497">
        <f ca="1">IF(I310&gt;0,J310*100/I310,0)</f>
        <v>0</v>
      </c>
      <c r="L310" s="497"/>
      <c r="M310" s="497"/>
      <c r="N310" s="497"/>
      <c r="O310" s="497"/>
      <c r="P310" s="497"/>
    </row>
    <row r="311" spans="1:26" ht="18.75" hidden="1">
      <c r="A311" s="169"/>
      <c r="B311" s="170"/>
      <c r="C311" s="170"/>
      <c r="D311" s="446" t="s">
        <v>59</v>
      </c>
      <c r="E311" s="446"/>
      <c r="F311" s="446"/>
      <c r="G311" s="178"/>
      <c r="H311" s="759" t="s">
        <v>35</v>
      </c>
      <c r="I311" s="269">
        <f ca="1">IFERROR(__xludf.DUMMYFUNCTION("IMPORTRANGE(""https://docs.google.com/spreadsheets/d/1QqKyyYR6Q21VydFLVH3TRQUabQu_ym0Zz7PgGX0-kHA/edit?usp=sharing"",""แผน!ED60"")"),0)</f>
        <v>0</v>
      </c>
      <c r="J311" s="214">
        <v>0</v>
      </c>
      <c r="K311" s="497">
        <f ca="1">IF(I311&gt;0,J311*100/I311,0)</f>
        <v>0</v>
      </c>
      <c r="L311" s="497"/>
      <c r="M311" s="497"/>
      <c r="N311" s="497"/>
      <c r="O311" s="497"/>
      <c r="P311" s="497"/>
    </row>
    <row r="312" spans="1:26" ht="18.75" hidden="1">
      <c r="A312" s="169"/>
      <c r="B312" s="170"/>
      <c r="C312" s="170"/>
      <c r="D312" s="446" t="s">
        <v>143</v>
      </c>
      <c r="E312" s="446"/>
      <c r="F312" s="446"/>
      <c r="G312" s="178"/>
      <c r="H312" s="759" t="s">
        <v>35</v>
      </c>
      <c r="I312" s="269">
        <f ca="1">IFERROR(__xludf.DUMMYFUNCTION("IMPORTRANGE(""https://docs.google.com/spreadsheets/d/1QqKyyYR6Q21VydFLVH3TRQUabQu_ym0Zz7PgGX0-kHA/edit?usp=sharing"",""แผน!EE60"")"),0)</f>
        <v>0</v>
      </c>
      <c r="J312" s="214">
        <v>0</v>
      </c>
      <c r="K312" s="497">
        <f ca="1">IF(I312&gt;0,J312*100/I312,0)</f>
        <v>0</v>
      </c>
      <c r="L312" s="497"/>
      <c r="M312" s="497"/>
      <c r="N312" s="497"/>
      <c r="O312" s="497"/>
      <c r="P312" s="497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ca="1">I325</f>
        <v>0</v>
      </c>
      <c r="J314" s="443">
        <f>J325</f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6"/>
      <c r="B315" s="147"/>
      <c r="C315" s="148" t="s">
        <v>16</v>
      </c>
      <c r="D315" s="855" t="s">
        <v>17</v>
      </c>
      <c r="E315" s="147"/>
      <c r="F315" s="147"/>
      <c r="G315" s="150"/>
      <c r="H315" s="151" t="s">
        <v>12</v>
      </c>
      <c r="I315" s="419"/>
      <c r="J315" s="419"/>
      <c r="K315" s="153"/>
      <c r="L315" s="154">
        <f ca="1">L316+L317</f>
        <v>0</v>
      </c>
      <c r="M315" s="154">
        <f ca="1">M316+M317</f>
        <v>0</v>
      </c>
      <c r="N315" s="154">
        <f ca="1">N316+N317</f>
        <v>0</v>
      </c>
      <c r="O315" s="154">
        <f t="shared" ref="O315:O323" ca="1" si="53">IF(L315&gt;0,N315*100/L315,0)</f>
        <v>0</v>
      </c>
      <c r="P315" s="154">
        <f t="shared" ref="P315:P323" ca="1" si="54">IF(M315&gt;0,N315*100/M315,0)</f>
        <v>0</v>
      </c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8.75" hidden="1">
      <c r="A316" s="155"/>
      <c r="B316" s="39"/>
      <c r="C316" s="39"/>
      <c r="D316" s="39"/>
      <c r="E316" s="222" t="s">
        <v>18</v>
      </c>
      <c r="F316" s="39"/>
      <c r="G316" s="156"/>
      <c r="H316" s="157" t="s">
        <v>12</v>
      </c>
      <c r="I316" s="612"/>
      <c r="J316" s="612"/>
      <c r="K316" s="92"/>
      <c r="L316" s="92">
        <f t="shared" ref="L316:N317" si="55">L319+L322</f>
        <v>0</v>
      </c>
      <c r="M316" s="92">
        <f t="shared" si="55"/>
        <v>0</v>
      </c>
      <c r="N316" s="92">
        <f t="shared" si="55"/>
        <v>0</v>
      </c>
      <c r="O316" s="92">
        <f t="shared" si="53"/>
        <v>0</v>
      </c>
      <c r="P316" s="92">
        <f t="shared" si="54"/>
        <v>0</v>
      </c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8.75" hidden="1">
      <c r="A317" s="155"/>
      <c r="B317" s="39"/>
      <c r="C317" s="39"/>
      <c r="D317" s="39"/>
      <c r="E317" s="222" t="s">
        <v>19</v>
      </c>
      <c r="F317" s="39"/>
      <c r="G317" s="156"/>
      <c r="H317" s="157" t="s">
        <v>12</v>
      </c>
      <c r="I317" s="612"/>
      <c r="J317" s="612"/>
      <c r="K317" s="92"/>
      <c r="L317" s="92">
        <f t="shared" ca="1" si="55"/>
        <v>0</v>
      </c>
      <c r="M317" s="92">
        <f t="shared" ca="1" si="55"/>
        <v>0</v>
      </c>
      <c r="N317" s="92">
        <f t="shared" ca="1" si="55"/>
        <v>0</v>
      </c>
      <c r="O317" s="92">
        <f t="shared" ca="1" si="53"/>
        <v>0</v>
      </c>
      <c r="P317" s="92">
        <f t="shared" ca="1" si="54"/>
        <v>0</v>
      </c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8.75" hidden="1">
      <c r="A318" s="158"/>
      <c r="B318" s="32"/>
      <c r="C318" s="281"/>
      <c r="D318" s="33" t="s">
        <v>20</v>
      </c>
      <c r="E318" s="32"/>
      <c r="F318" s="32"/>
      <c r="G318" s="34"/>
      <c r="H318" s="160" t="s">
        <v>12</v>
      </c>
      <c r="I318" s="183"/>
      <c r="J318" s="183"/>
      <c r="K318" s="162"/>
      <c r="L318" s="497">
        <f ca="1">L319+L320</f>
        <v>0</v>
      </c>
      <c r="M318" s="497">
        <f ca="1">M319+M320</f>
        <v>0</v>
      </c>
      <c r="N318" s="497">
        <f ca="1">N319+N320</f>
        <v>0</v>
      </c>
      <c r="O318" s="497">
        <f t="shared" ca="1" si="53"/>
        <v>0</v>
      </c>
      <c r="P318" s="497">
        <f t="shared" ca="1" si="54"/>
        <v>0</v>
      </c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9.5" hidden="1">
      <c r="A319" s="155"/>
      <c r="B319" s="39"/>
      <c r="C319" s="163"/>
      <c r="D319" s="39"/>
      <c r="E319" s="222" t="s">
        <v>36</v>
      </c>
      <c r="F319" s="39"/>
      <c r="G319" s="156"/>
      <c r="H319" s="164" t="s">
        <v>12</v>
      </c>
      <c r="I319" s="165"/>
      <c r="J319" s="165"/>
      <c r="K319" s="166"/>
      <c r="L319" s="92">
        <v>0</v>
      </c>
      <c r="M319" s="92">
        <v>0</v>
      </c>
      <c r="N319" s="92">
        <v>0</v>
      </c>
      <c r="O319" s="92">
        <f t="shared" si="53"/>
        <v>0</v>
      </c>
      <c r="P319" s="92">
        <f t="shared" si="54"/>
        <v>0</v>
      </c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9.5" hidden="1">
      <c r="A320" s="155"/>
      <c r="B320" s="39"/>
      <c r="C320" s="163"/>
      <c r="D320" s="39"/>
      <c r="E320" s="222" t="s">
        <v>37</v>
      </c>
      <c r="F320" s="39"/>
      <c r="G320" s="156"/>
      <c r="H320" s="164" t="s">
        <v>12</v>
      </c>
      <c r="I320" s="165"/>
      <c r="J320" s="165"/>
      <c r="K320" s="166"/>
      <c r="L320" s="92">
        <f ca="1">IFERROR(__xludf.DUMMYFUNCTION("IMPORTRANGE(""https://docs.google.com/spreadsheets/d/1MeEWN-I1oV_STSDYn1IFDPWt_1FKiwhDph83XaGc0o0/edit?usp=sharing"",""งบพรบ!EC60"")"),0)</f>
        <v>0</v>
      </c>
      <c r="M320" s="92">
        <f ca="1">IFERROR(__xludf.DUMMYFUNCTION("IMPORTRANGE(""https://docs.google.com/spreadsheets/d/1MeEWN-I1oV_STSDYn1IFDPWt_1FKiwhDph83XaGc0o0/edit?usp=sharing"",""งบพรบ!EH60"")"),0)</f>
        <v>0</v>
      </c>
      <c r="N320" s="92">
        <f ca="1">IFERROR(__xludf.DUMMYFUNCTION("IMPORTRANGE(""https://docs.google.com/spreadsheets/d/1MeEWN-I1oV_STSDYn1IFDPWt_1FKiwhDph83XaGc0o0/edit?usp=sharing"",""งบพรบ!EJ60"")"),0)</f>
        <v>0</v>
      </c>
      <c r="O320" s="92">
        <f t="shared" ca="1" si="53"/>
        <v>0</v>
      </c>
      <c r="P320" s="92">
        <f t="shared" ca="1" si="54"/>
        <v>0</v>
      </c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8.75" hidden="1">
      <c r="A321" s="158"/>
      <c r="B321" s="32"/>
      <c r="C321" s="281"/>
      <c r="D321" s="33" t="s">
        <v>21</v>
      </c>
      <c r="E321" s="32"/>
      <c r="F321" s="32"/>
      <c r="G321" s="34"/>
      <c r="H321" s="167" t="s">
        <v>12</v>
      </c>
      <c r="I321" s="183"/>
      <c r="J321" s="183"/>
      <c r="K321" s="162"/>
      <c r="L321" s="497">
        <f ca="1">L322+L323</f>
        <v>0</v>
      </c>
      <c r="M321" s="497">
        <f ca="1">M322+M323</f>
        <v>0</v>
      </c>
      <c r="N321" s="497">
        <f ca="1">N322+N323</f>
        <v>0</v>
      </c>
      <c r="O321" s="497">
        <f t="shared" ca="1" si="53"/>
        <v>0</v>
      </c>
      <c r="P321" s="497">
        <f t="shared" ca="1" si="54"/>
        <v>0</v>
      </c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9.5" hidden="1">
      <c r="A322" s="155"/>
      <c r="B322" s="39"/>
      <c r="C322" s="163"/>
      <c r="D322" s="39"/>
      <c r="E322" s="222" t="s">
        <v>18</v>
      </c>
      <c r="F322" s="39"/>
      <c r="G322" s="156"/>
      <c r="H322" s="164" t="s">
        <v>12</v>
      </c>
      <c r="I322" s="165"/>
      <c r="J322" s="165"/>
      <c r="K322" s="166"/>
      <c r="L322" s="92">
        <v>0</v>
      </c>
      <c r="M322" s="92">
        <v>0</v>
      </c>
      <c r="N322" s="92">
        <v>0</v>
      </c>
      <c r="O322" s="92">
        <f t="shared" si="53"/>
        <v>0</v>
      </c>
      <c r="P322" s="92">
        <f t="shared" si="54"/>
        <v>0</v>
      </c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9.5" hidden="1">
      <c r="A323" s="155"/>
      <c r="B323" s="39"/>
      <c r="C323" s="163"/>
      <c r="D323" s="39"/>
      <c r="E323" s="222" t="s">
        <v>19</v>
      </c>
      <c r="F323" s="39"/>
      <c r="G323" s="156"/>
      <c r="H323" s="168" t="s">
        <v>12</v>
      </c>
      <c r="I323" s="165"/>
      <c r="J323" s="165"/>
      <c r="K323" s="166"/>
      <c r="L323" s="92">
        <f ca="1">IFERROR(__xludf.DUMMYFUNCTION("IMPORTRANGE(""https://docs.google.com/spreadsheets/d/1MeEWN-I1oV_STSDYn1IFDPWt_1FKiwhDph83XaGc0o0/edit?usp=sharing"",""งบพรบ!EF60"")"),0)</f>
        <v>0</v>
      </c>
      <c r="M323" s="92">
        <f ca="1">IFERROR(__xludf.DUMMYFUNCTION("IMPORTRANGE(""https://docs.google.com/spreadsheets/d/1MeEWN-I1oV_STSDYn1IFDPWt_1FKiwhDph83XaGc0o0/edit?usp=sharing"",""งบพรบ!EI60"")"),0)</f>
        <v>0</v>
      </c>
      <c r="N323" s="92">
        <f ca="1">IFERROR(__xludf.DUMMYFUNCTION("IMPORTRANGE(""https://docs.google.com/spreadsheets/d/1MeEWN-I1oV_STSDYn1IFDPWt_1FKiwhDph83XaGc0o0/edit?usp=sharing"",""งบพรบ!EK60"")"),0)</f>
        <v>0</v>
      </c>
      <c r="O323" s="92">
        <f t="shared" ca="1" si="53"/>
        <v>0</v>
      </c>
      <c r="P323" s="92">
        <f t="shared" ca="1" si="54"/>
        <v>0</v>
      </c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9.5" hidden="1">
      <c r="A324" s="169"/>
      <c r="B324" s="170"/>
      <c r="C324" s="163" t="s">
        <v>16</v>
      </c>
      <c r="D324" s="856" t="s">
        <v>38</v>
      </c>
      <c r="E324" s="172"/>
      <c r="F324" s="172"/>
      <c r="G324" s="173"/>
      <c r="H324" s="757"/>
      <c r="I324" s="183"/>
      <c r="J324" s="269"/>
      <c r="K324" s="497"/>
      <c r="L324" s="497"/>
      <c r="M324" s="497"/>
      <c r="N324" s="497"/>
      <c r="O324" s="162"/>
      <c r="P324" s="162"/>
    </row>
    <row r="325" spans="1:26" ht="18.75" hidden="1">
      <c r="A325" s="169"/>
      <c r="B325" s="170"/>
      <c r="C325" s="170"/>
      <c r="D325" s="175" t="s">
        <v>147</v>
      </c>
      <c r="E325" s="177"/>
      <c r="F325" s="446"/>
      <c r="G325" s="178"/>
      <c r="H325" s="618" t="s">
        <v>146</v>
      </c>
      <c r="I325" s="269">
        <f ca="1">IFERROR(__xludf.DUMMYFUNCTION("IMPORTRANGE(""https://docs.google.com/spreadsheets/d/1QqKyyYR6Q21VydFLVH3TRQUabQu_ym0Zz7PgGX0-kHA/edit?usp=sharing"",""แผน!EF60"")"),0)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2"/>
      <c r="P325" s="162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IFERROR(__xludf.DUMMYFUNCTION("IMPORTRANGE(""https://docs.google.com/spreadsheets/d/1QqKyyYR6Q21VydFLVH3TRQUabQu_ym0Zz7PgGX0-kHA/edit?usp=sharing"",""แผน!EG60"")"),200)</f>
        <v>200</v>
      </c>
      <c r="J327" s="443">
        <f ca="1">J338+J341+J342+J343</f>
        <v>302</v>
      </c>
      <c r="K327" s="444">
        <f ca="1">IF(I327&gt;0,J327*100/I327,0)</f>
        <v>151</v>
      </c>
      <c r="L327" s="445"/>
      <c r="M327" s="445"/>
      <c r="N327" s="445"/>
      <c r="O327" s="445"/>
      <c r="P327" s="445"/>
    </row>
    <row r="328" spans="1:26" ht="19.5">
      <c r="A328" s="146"/>
      <c r="B328" s="147"/>
      <c r="C328" s="148" t="s">
        <v>16</v>
      </c>
      <c r="D328" s="855" t="s">
        <v>17</v>
      </c>
      <c r="E328" s="147"/>
      <c r="F328" s="147"/>
      <c r="G328" s="150"/>
      <c r="H328" s="151" t="s">
        <v>12</v>
      </c>
      <c r="I328" s="419"/>
      <c r="J328" s="419"/>
      <c r="K328" s="153"/>
      <c r="L328" s="154">
        <f ca="1">L329+L330</f>
        <v>244600</v>
      </c>
      <c r="M328" s="154">
        <f ca="1">M329+M330</f>
        <v>247100</v>
      </c>
      <c r="N328" s="154">
        <f ca="1">N329+N330</f>
        <v>247100</v>
      </c>
      <c r="O328" s="154">
        <f t="shared" ref="O328:O336" ca="1" si="56">IF(L328&gt;0,N328*100/L328,0)</f>
        <v>101.02207686017988</v>
      </c>
      <c r="P328" s="154">
        <f t="shared" ref="P328:P336" ca="1" si="57">IF(M328&gt;0,N328*100/M328,0)</f>
        <v>100</v>
      </c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8.75" hidden="1">
      <c r="A329" s="155"/>
      <c r="B329" s="39"/>
      <c r="C329" s="39"/>
      <c r="D329" s="39"/>
      <c r="E329" s="222" t="s">
        <v>18</v>
      </c>
      <c r="F329" s="39"/>
      <c r="G329" s="156"/>
      <c r="H329" s="157" t="s">
        <v>12</v>
      </c>
      <c r="I329" s="612"/>
      <c r="J329" s="612"/>
      <c r="K329" s="92"/>
      <c r="L329" s="92">
        <f t="shared" ref="L329:N330" si="58">L332+L335</f>
        <v>0</v>
      </c>
      <c r="M329" s="92">
        <f t="shared" si="58"/>
        <v>0</v>
      </c>
      <c r="N329" s="92">
        <f t="shared" si="58"/>
        <v>0</v>
      </c>
      <c r="O329" s="92">
        <f t="shared" si="56"/>
        <v>0</v>
      </c>
      <c r="P329" s="92">
        <f t="shared" si="57"/>
        <v>0</v>
      </c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8.75" hidden="1">
      <c r="A330" s="155"/>
      <c r="B330" s="39"/>
      <c r="C330" s="39"/>
      <c r="D330" s="39"/>
      <c r="E330" s="222" t="s">
        <v>19</v>
      </c>
      <c r="F330" s="39"/>
      <c r="G330" s="156"/>
      <c r="H330" s="157" t="s">
        <v>12</v>
      </c>
      <c r="I330" s="612"/>
      <c r="J330" s="612"/>
      <c r="K330" s="92"/>
      <c r="L330" s="92">
        <f t="shared" ca="1" si="58"/>
        <v>244600</v>
      </c>
      <c r="M330" s="92">
        <f t="shared" ca="1" si="58"/>
        <v>247100</v>
      </c>
      <c r="N330" s="92">
        <f t="shared" ca="1" si="58"/>
        <v>247100</v>
      </c>
      <c r="O330" s="92">
        <f t="shared" ca="1" si="56"/>
        <v>101.02207686017988</v>
      </c>
      <c r="P330" s="92">
        <f t="shared" ca="1" si="57"/>
        <v>100</v>
      </c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8.75">
      <c r="A331" s="158"/>
      <c r="B331" s="32"/>
      <c r="C331" s="281"/>
      <c r="D331" s="33" t="s">
        <v>20</v>
      </c>
      <c r="E331" s="32"/>
      <c r="F331" s="32"/>
      <c r="G331" s="34"/>
      <c r="H331" s="160" t="s">
        <v>12</v>
      </c>
      <c r="I331" s="183"/>
      <c r="J331" s="183"/>
      <c r="K331" s="162"/>
      <c r="L331" s="497">
        <f ca="1">L332+L333</f>
        <v>244600</v>
      </c>
      <c r="M331" s="497">
        <f ca="1">M332+M333</f>
        <v>247100</v>
      </c>
      <c r="N331" s="497">
        <f ca="1">N332+N333</f>
        <v>247100</v>
      </c>
      <c r="O331" s="497">
        <f t="shared" ca="1" si="56"/>
        <v>101.02207686017988</v>
      </c>
      <c r="P331" s="497">
        <f t="shared" ca="1" si="57"/>
        <v>100</v>
      </c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9.5" hidden="1">
      <c r="A332" s="155"/>
      <c r="B332" s="39"/>
      <c r="C332" s="163"/>
      <c r="D332" s="39"/>
      <c r="E332" s="222" t="s">
        <v>36</v>
      </c>
      <c r="F332" s="39"/>
      <c r="G332" s="156"/>
      <c r="H332" s="164" t="s">
        <v>12</v>
      </c>
      <c r="I332" s="165"/>
      <c r="J332" s="165"/>
      <c r="K332" s="166"/>
      <c r="L332" s="92">
        <v>0</v>
      </c>
      <c r="M332" s="92">
        <v>0</v>
      </c>
      <c r="N332" s="92">
        <v>0</v>
      </c>
      <c r="O332" s="92">
        <f t="shared" si="56"/>
        <v>0</v>
      </c>
      <c r="P332" s="92">
        <f t="shared" si="57"/>
        <v>0</v>
      </c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9.5" hidden="1">
      <c r="A333" s="155"/>
      <c r="B333" s="39"/>
      <c r="C333" s="163"/>
      <c r="D333" s="39"/>
      <c r="E333" s="222" t="s">
        <v>37</v>
      </c>
      <c r="F333" s="39"/>
      <c r="G333" s="156"/>
      <c r="H333" s="164" t="s">
        <v>12</v>
      </c>
      <c r="I333" s="165"/>
      <c r="J333" s="165"/>
      <c r="K333" s="166"/>
      <c r="L333" s="92">
        <f ca="1">IFERROR(__xludf.DUMMYFUNCTION("IMPORTRANGE(""https://docs.google.com/spreadsheets/d/1MeEWN-I1oV_STSDYn1IFDPWt_1FKiwhDph83XaGc0o0/edit?usp=sharing"",""งบพรบ!EM60"")"),244600)</f>
        <v>244600</v>
      </c>
      <c r="M333" s="92">
        <f ca="1">IFERROR(__xludf.DUMMYFUNCTION("IMPORTRANGE(""https://docs.google.com/spreadsheets/d/1MeEWN-I1oV_STSDYn1IFDPWt_1FKiwhDph83XaGc0o0/edit?usp=sharing"",""งบพรบ!ER60"")"),247100)</f>
        <v>247100</v>
      </c>
      <c r="N333" s="92">
        <f ca="1">IFERROR(__xludf.DUMMYFUNCTION("IMPORTRANGE(""https://docs.google.com/spreadsheets/d/1MeEWN-I1oV_STSDYn1IFDPWt_1FKiwhDph83XaGc0o0/edit?usp=sharing"",""งบพรบ!ET60"")"),247100)</f>
        <v>247100</v>
      </c>
      <c r="O333" s="92">
        <f t="shared" ca="1" si="56"/>
        <v>101.02207686017988</v>
      </c>
      <c r="P333" s="92">
        <f t="shared" ca="1" si="57"/>
        <v>100</v>
      </c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8.75">
      <c r="A334" s="158"/>
      <c r="B334" s="32"/>
      <c r="C334" s="281"/>
      <c r="D334" s="33" t="s">
        <v>21</v>
      </c>
      <c r="E334" s="32"/>
      <c r="F334" s="32"/>
      <c r="G334" s="34"/>
      <c r="H334" s="167" t="s">
        <v>12</v>
      </c>
      <c r="I334" s="183"/>
      <c r="J334" s="183"/>
      <c r="K334" s="162"/>
      <c r="L334" s="497">
        <f ca="1">L335+L336</f>
        <v>0</v>
      </c>
      <c r="M334" s="497">
        <f ca="1">M335+M336</f>
        <v>0</v>
      </c>
      <c r="N334" s="497">
        <f ca="1">N335+N336</f>
        <v>0</v>
      </c>
      <c r="O334" s="497">
        <f t="shared" ca="1" si="56"/>
        <v>0</v>
      </c>
      <c r="P334" s="497">
        <f t="shared" ca="1" si="57"/>
        <v>0</v>
      </c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9.5" hidden="1">
      <c r="A335" s="155"/>
      <c r="B335" s="39"/>
      <c r="C335" s="163"/>
      <c r="D335" s="39"/>
      <c r="E335" s="222" t="s">
        <v>18</v>
      </c>
      <c r="F335" s="39"/>
      <c r="G335" s="156"/>
      <c r="H335" s="164" t="s">
        <v>12</v>
      </c>
      <c r="I335" s="165"/>
      <c r="J335" s="165"/>
      <c r="K335" s="166"/>
      <c r="L335" s="92">
        <v>0</v>
      </c>
      <c r="M335" s="92">
        <v>0</v>
      </c>
      <c r="N335" s="92">
        <v>0</v>
      </c>
      <c r="O335" s="92">
        <f t="shared" si="56"/>
        <v>0</v>
      </c>
      <c r="P335" s="92">
        <f t="shared" si="57"/>
        <v>0</v>
      </c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9.5" hidden="1">
      <c r="A336" s="155"/>
      <c r="B336" s="39"/>
      <c r="C336" s="163"/>
      <c r="D336" s="39"/>
      <c r="E336" s="222" t="s">
        <v>19</v>
      </c>
      <c r="F336" s="39"/>
      <c r="G336" s="156"/>
      <c r="H336" s="168" t="s">
        <v>12</v>
      </c>
      <c r="I336" s="165"/>
      <c r="J336" s="165"/>
      <c r="K336" s="166"/>
      <c r="L336" s="92">
        <f ca="1">IFERROR(__xludf.DUMMYFUNCTION("IMPORTRANGE(""https://docs.google.com/spreadsheets/d/1MeEWN-I1oV_STSDYn1IFDPWt_1FKiwhDph83XaGc0o0/edit?usp=sharing"",""งบพรบ!EP60"")"),0)</f>
        <v>0</v>
      </c>
      <c r="M336" s="92">
        <f ca="1">IFERROR(__xludf.DUMMYFUNCTION("IMPORTRANGE(""https://docs.google.com/spreadsheets/d/1MeEWN-I1oV_STSDYn1IFDPWt_1FKiwhDph83XaGc0o0/edit?usp=sharing"",""งบพรบ!ES60"")"),0)</f>
        <v>0</v>
      </c>
      <c r="N336" s="92">
        <f ca="1">IFERROR(__xludf.DUMMYFUNCTION("IMPORTRANGE(""https://docs.google.com/spreadsheets/d/1MeEWN-I1oV_STSDYn1IFDPWt_1FKiwhDph83XaGc0o0/edit?usp=sharing"",""งบพรบ!EU60"")"),0)</f>
        <v>0</v>
      </c>
      <c r="O336" s="92">
        <f t="shared" ca="1" si="56"/>
        <v>0</v>
      </c>
      <c r="P336" s="92">
        <f t="shared" ca="1" si="57"/>
        <v>0</v>
      </c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9.5">
      <c r="A337" s="169"/>
      <c r="B337" s="170"/>
      <c r="C337" s="163" t="s">
        <v>16</v>
      </c>
      <c r="D337" s="857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ข้อมูลจากปันสุข+ศูนย์บริการระบบใหม่ (ข้อมูล ณ วันที่ 2 ต.ค. 66 เวลา 07.30 น.)")</f>
        <v>ขั้นตอนการดำเนินงาน ข้อมูลจากปันสุข+ศูนย์บริการระบบใหม่ (ข้อมูล ณ วันที่ 2 ต.ค. 66 เวลา 07.30 น.)</v>
      </c>
      <c r="E337" s="172"/>
      <c r="F337" s="172"/>
      <c r="G337" s="173"/>
      <c r="H337" s="757"/>
      <c r="I337" s="183"/>
      <c r="J337" s="269"/>
      <c r="K337" s="497"/>
      <c r="L337" s="497"/>
      <c r="M337" s="497"/>
      <c r="N337" s="497"/>
      <c r="O337" s="162"/>
      <c r="P337" s="162"/>
    </row>
    <row r="338" spans="1:26" ht="18.75">
      <c r="A338" s="284"/>
      <c r="B338" s="32"/>
      <c r="C338" s="280"/>
      <c r="D338" s="446" t="s">
        <v>150</v>
      </c>
      <c r="E338" s="170"/>
      <c r="F338" s="32"/>
      <c r="G338" s="34"/>
      <c r="H338" s="276" t="s">
        <v>35</v>
      </c>
      <c r="I338" s="269">
        <f ca="1">IFERROR(__xludf.DUMMYFUNCTION("IMPORTRANGE(""https://docs.google.com/spreadsheets/d/1QqKyyYR6Q21VydFLVH3TRQUabQu_ym0Zz7PgGX0-kHA/edit?usp=sharing"",""แผน!EG60"")"),200)</f>
        <v>200</v>
      </c>
      <c r="J338" s="269">
        <f ca="1">IFERROR(__xludf.DUMMYFUNCTION("IMPORTRANGE(""https://docs.google.com/spreadsheets/d/1kVcqe37tkHyjCSG3S0O1AXqVkqjo8mSIZil3BcpIysc/edit?usp=sharing"",""ศูนย์!D60"")"),190)</f>
        <v>190</v>
      </c>
      <c r="K338" s="497">
        <f ca="1">IF(I338&gt;0,J338*100/I338,0)</f>
        <v>95</v>
      </c>
      <c r="L338" s="497"/>
      <c r="M338" s="497"/>
      <c r="N338" s="497"/>
      <c r="O338" s="497"/>
      <c r="P338" s="497"/>
    </row>
    <row r="339" spans="1:26" ht="18.75">
      <c r="A339" s="284"/>
      <c r="B339" s="32"/>
      <c r="C339" s="280"/>
      <c r="D339" s="446" t="s">
        <v>151</v>
      </c>
      <c r="E339" s="170"/>
      <c r="F339" s="32"/>
      <c r="G339" s="34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4"/>
      <c r="B340" s="32"/>
      <c r="C340" s="280"/>
      <c r="D340" s="177"/>
      <c r="E340" s="446" t="s">
        <v>152</v>
      </c>
      <c r="F340" s="32"/>
      <c r="G340" s="34"/>
      <c r="H340" s="276" t="s">
        <v>153</v>
      </c>
      <c r="I340" s="269">
        <f ca="1">IFERROR(__xludf.DUMMYFUNCTION("IMPORTRANGE(""https://docs.google.com/spreadsheets/d/1QqKyyYR6Q21VydFLVH3TRQUabQu_ym0Zz7PgGX0-kHA/edit?usp=sharing"",""แผน!EH60"")"),2)</f>
        <v>2</v>
      </c>
      <c r="J340" s="269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2"/>
      <c r="C341" s="280"/>
      <c r="D341" s="177"/>
      <c r="E341" s="446" t="s">
        <v>154</v>
      </c>
      <c r="F341" s="32"/>
      <c r="G341" s="34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2"/>
      <c r="C342" s="280"/>
      <c r="D342" s="446" t="s">
        <v>155</v>
      </c>
      <c r="E342" s="177"/>
      <c r="F342" s="177"/>
      <c r="G342" s="34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IFERROR(__xludf.DUMMYFUNCTION("IMPORTRANGE(""https://docs.google.com/spreadsheets/d/1kVcqe37tkHyjCSG3S0O1AXqVkqjo8mSIZil3BcpIysc/edit?usp=sharing"",""ศูนย์!G60"")"),10)</f>
        <v>10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2"/>
      <c r="C343" s="280"/>
      <c r="D343" s="446" t="s">
        <v>156</v>
      </c>
      <c r="E343" s="177"/>
      <c r="F343" s="177"/>
      <c r="G343" s="34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3"/>
      <c r="J344" s="453"/>
      <c r="K344" s="445"/>
      <c r="L344" s="445"/>
      <c r="M344" s="445"/>
      <c r="N344" s="445"/>
      <c r="O344" s="445"/>
      <c r="P344" s="445"/>
    </row>
    <row r="345" spans="1:26" ht="19.5">
      <c r="A345" s="146"/>
      <c r="B345" s="147"/>
      <c r="C345" s="148" t="s">
        <v>16</v>
      </c>
      <c r="D345" s="855" t="s">
        <v>17</v>
      </c>
      <c r="E345" s="147"/>
      <c r="F345" s="147"/>
      <c r="G345" s="150"/>
      <c r="H345" s="151" t="s">
        <v>12</v>
      </c>
      <c r="I345" s="419"/>
      <c r="J345" s="419"/>
      <c r="K345" s="153"/>
      <c r="L345" s="154">
        <f ca="1">L346+L347</f>
        <v>228910</v>
      </c>
      <c r="M345" s="154">
        <f ca="1">M346+M347</f>
        <v>265110</v>
      </c>
      <c r="N345" s="154">
        <f ca="1">N346+N347</f>
        <v>265110</v>
      </c>
      <c r="O345" s="154">
        <f t="shared" ref="O345:O353" ca="1" si="59">IF(L345&gt;0,N345*100/L345,0)</f>
        <v>115.81407540081254</v>
      </c>
      <c r="P345" s="154">
        <f t="shared" ref="P345:P353" ca="1" si="60">IF(M345&gt;0,N345*100/M345,0)</f>
        <v>100</v>
      </c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8.75" hidden="1">
      <c r="A346" s="155"/>
      <c r="B346" s="39"/>
      <c r="C346" s="39"/>
      <c r="D346" s="39"/>
      <c r="E346" s="222" t="s">
        <v>18</v>
      </c>
      <c r="F346" s="39"/>
      <c r="G346" s="156"/>
      <c r="H346" s="157" t="s">
        <v>12</v>
      </c>
      <c r="I346" s="612"/>
      <c r="J346" s="612"/>
      <c r="K346" s="92"/>
      <c r="L346" s="92">
        <f t="shared" ref="L346:N347" si="61">L349+L352</f>
        <v>0</v>
      </c>
      <c r="M346" s="92">
        <f t="shared" si="61"/>
        <v>0</v>
      </c>
      <c r="N346" s="92">
        <f t="shared" si="61"/>
        <v>0</v>
      </c>
      <c r="O346" s="92">
        <f t="shared" si="59"/>
        <v>0</v>
      </c>
      <c r="P346" s="92">
        <f t="shared" si="60"/>
        <v>0</v>
      </c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8.75" hidden="1">
      <c r="A347" s="155"/>
      <c r="B347" s="39"/>
      <c r="C347" s="39"/>
      <c r="D347" s="39"/>
      <c r="E347" s="222" t="s">
        <v>19</v>
      </c>
      <c r="F347" s="39"/>
      <c r="G347" s="156"/>
      <c r="H347" s="157" t="s">
        <v>12</v>
      </c>
      <c r="I347" s="612"/>
      <c r="J347" s="612"/>
      <c r="K347" s="92"/>
      <c r="L347" s="92">
        <f t="shared" ca="1" si="61"/>
        <v>228910</v>
      </c>
      <c r="M347" s="92">
        <f t="shared" ca="1" si="61"/>
        <v>265110</v>
      </c>
      <c r="N347" s="92">
        <f t="shared" ca="1" si="61"/>
        <v>265110</v>
      </c>
      <c r="O347" s="92">
        <f t="shared" ca="1" si="59"/>
        <v>115.81407540081254</v>
      </c>
      <c r="P347" s="92">
        <f t="shared" ca="1" si="60"/>
        <v>100</v>
      </c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8.75">
      <c r="A348" s="158"/>
      <c r="B348" s="32"/>
      <c r="C348" s="281"/>
      <c r="D348" s="33" t="s">
        <v>20</v>
      </c>
      <c r="E348" s="32"/>
      <c r="F348" s="32"/>
      <c r="G348" s="34"/>
      <c r="H348" s="160" t="s">
        <v>12</v>
      </c>
      <c r="I348" s="183"/>
      <c r="J348" s="183"/>
      <c r="K348" s="162"/>
      <c r="L348" s="497">
        <f ca="1">L349+L350</f>
        <v>191110</v>
      </c>
      <c r="M348" s="497">
        <f ca="1">M349+M350</f>
        <v>227310</v>
      </c>
      <c r="N348" s="497">
        <f ca="1">N349+N350</f>
        <v>227310</v>
      </c>
      <c r="O348" s="497">
        <f t="shared" ca="1" si="59"/>
        <v>118.94197059285229</v>
      </c>
      <c r="P348" s="497">
        <f t="shared" ca="1" si="60"/>
        <v>100</v>
      </c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9.5" hidden="1">
      <c r="A349" s="155"/>
      <c r="B349" s="39"/>
      <c r="C349" s="163"/>
      <c r="D349" s="39"/>
      <c r="E349" s="222" t="s">
        <v>36</v>
      </c>
      <c r="F349" s="39"/>
      <c r="G349" s="156"/>
      <c r="H349" s="164" t="s">
        <v>12</v>
      </c>
      <c r="I349" s="165"/>
      <c r="J349" s="165"/>
      <c r="K349" s="166"/>
      <c r="L349" s="92">
        <v>0</v>
      </c>
      <c r="M349" s="92">
        <v>0</v>
      </c>
      <c r="N349" s="92">
        <v>0</v>
      </c>
      <c r="O349" s="92">
        <f t="shared" si="59"/>
        <v>0</v>
      </c>
      <c r="P349" s="92">
        <f t="shared" si="60"/>
        <v>0</v>
      </c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9.5" hidden="1">
      <c r="A350" s="155"/>
      <c r="B350" s="39"/>
      <c r="C350" s="163"/>
      <c r="D350" s="39"/>
      <c r="E350" s="222" t="s">
        <v>37</v>
      </c>
      <c r="F350" s="39"/>
      <c r="G350" s="156"/>
      <c r="H350" s="164" t="s">
        <v>12</v>
      </c>
      <c r="I350" s="165"/>
      <c r="J350" s="165"/>
      <c r="K350" s="166"/>
      <c r="L350" s="92">
        <f ca="1">IFERROR(__xludf.DUMMYFUNCTION("IMPORTRANGE(""https://docs.google.com/spreadsheets/d/1MeEWN-I1oV_STSDYn1IFDPWt_1FKiwhDph83XaGc0o0/edit?usp=sharing"",""งบพรบ!EW60"")"),191110)</f>
        <v>191110</v>
      </c>
      <c r="M350" s="92">
        <f ca="1">IFERROR(__xludf.DUMMYFUNCTION("IMPORTRANGE(""https://docs.google.com/spreadsheets/d/1MeEWN-I1oV_STSDYn1IFDPWt_1FKiwhDph83XaGc0o0/edit?usp=sharing"",""งบพรบ!FB60"")"),227310)</f>
        <v>227310</v>
      </c>
      <c r="N350" s="92">
        <f ca="1">IFERROR(__xludf.DUMMYFUNCTION("IMPORTRANGE(""https://docs.google.com/spreadsheets/d/1MeEWN-I1oV_STSDYn1IFDPWt_1FKiwhDph83XaGc0o0/edit?usp=sharing"",""งบพรบ!FD60"")"),227310)</f>
        <v>227310</v>
      </c>
      <c r="O350" s="92">
        <f t="shared" ca="1" si="59"/>
        <v>118.94197059285229</v>
      </c>
      <c r="P350" s="92">
        <f t="shared" ca="1" si="60"/>
        <v>100</v>
      </c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8.75">
      <c r="A351" s="158"/>
      <c r="B351" s="32"/>
      <c r="C351" s="281"/>
      <c r="D351" s="33" t="s">
        <v>21</v>
      </c>
      <c r="E351" s="32"/>
      <c r="F351" s="32"/>
      <c r="G351" s="34"/>
      <c r="H351" s="167" t="s">
        <v>12</v>
      </c>
      <c r="I351" s="183"/>
      <c r="J351" s="183"/>
      <c r="K351" s="162"/>
      <c r="L351" s="497">
        <f ca="1">L352+L353</f>
        <v>37800</v>
      </c>
      <c r="M351" s="497">
        <f ca="1">M352+M353</f>
        <v>37800</v>
      </c>
      <c r="N351" s="497">
        <f ca="1">N352+N353</f>
        <v>37800</v>
      </c>
      <c r="O351" s="497">
        <f t="shared" ca="1" si="59"/>
        <v>100</v>
      </c>
      <c r="P351" s="497">
        <f t="shared" ca="1" si="60"/>
        <v>100</v>
      </c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9.5" hidden="1">
      <c r="A352" s="155"/>
      <c r="B352" s="39"/>
      <c r="C352" s="163"/>
      <c r="D352" s="39"/>
      <c r="E352" s="222" t="s">
        <v>18</v>
      </c>
      <c r="F352" s="39"/>
      <c r="G352" s="156"/>
      <c r="H352" s="164" t="s">
        <v>12</v>
      </c>
      <c r="I352" s="165"/>
      <c r="J352" s="165"/>
      <c r="K352" s="166"/>
      <c r="L352" s="92">
        <v>0</v>
      </c>
      <c r="M352" s="92">
        <v>0</v>
      </c>
      <c r="N352" s="92">
        <v>0</v>
      </c>
      <c r="O352" s="92">
        <f t="shared" si="59"/>
        <v>0</v>
      </c>
      <c r="P352" s="92">
        <f t="shared" si="60"/>
        <v>0</v>
      </c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9.5" hidden="1">
      <c r="A353" s="155"/>
      <c r="B353" s="39"/>
      <c r="C353" s="163"/>
      <c r="D353" s="39"/>
      <c r="E353" s="222" t="s">
        <v>19</v>
      </c>
      <c r="F353" s="39"/>
      <c r="G353" s="156"/>
      <c r="H353" s="168" t="s">
        <v>12</v>
      </c>
      <c r="I353" s="165"/>
      <c r="J353" s="165"/>
      <c r="K353" s="166"/>
      <c r="L353" s="92">
        <f ca="1">IFERROR(__xludf.DUMMYFUNCTION("IMPORTRANGE(""https://docs.google.com/spreadsheets/d/1MeEWN-I1oV_STSDYn1IFDPWt_1FKiwhDph83XaGc0o0/edit?usp=sharing"",""งบพรบ!EZ60"")"),37800)</f>
        <v>37800</v>
      </c>
      <c r="M353" s="92">
        <f ca="1">IFERROR(__xludf.DUMMYFUNCTION("IMPORTRANGE(""https://docs.google.com/spreadsheets/d/1MeEWN-I1oV_STSDYn1IFDPWt_1FKiwhDph83XaGc0o0/edit?usp=sharing"",""งบพรบ!FC60"")"),37800)</f>
        <v>37800</v>
      </c>
      <c r="N353" s="92">
        <f ca="1">IFERROR(__xludf.DUMMYFUNCTION("IMPORTRANGE(""https://docs.google.com/spreadsheets/d/1MeEWN-I1oV_STSDYn1IFDPWt_1FKiwhDph83XaGc0o0/edit?usp=sharing"",""งบพรบ!FE60"")"),37800)</f>
        <v>37800</v>
      </c>
      <c r="O353" s="92">
        <f t="shared" ca="1" si="59"/>
        <v>100</v>
      </c>
      <c r="P353" s="92">
        <f t="shared" ca="1" si="60"/>
        <v>100</v>
      </c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9.5" hidden="1">
      <c r="A354" s="255"/>
      <c r="B354" s="263"/>
      <c r="C354" s="256"/>
      <c r="D354" s="858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 hidden="1">
      <c r="A355" s="456"/>
      <c r="B355" s="457"/>
      <c r="C355" s="458"/>
      <c r="D355" s="859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69"/>
      <c r="B357" s="170"/>
      <c r="C357" s="163" t="s">
        <v>16</v>
      </c>
      <c r="D357" s="856" t="s">
        <v>38</v>
      </c>
      <c r="E357" s="172"/>
      <c r="F357" s="172"/>
      <c r="G357" s="173"/>
      <c r="H357" s="757"/>
      <c r="I357" s="269"/>
      <c r="J357" s="269"/>
      <c r="K357" s="497"/>
      <c r="L357" s="162"/>
      <c r="M357" s="162"/>
      <c r="N357" s="162"/>
      <c r="O357" s="162"/>
      <c r="P357" s="162"/>
    </row>
    <row r="358" spans="1:26" ht="18.75" hidden="1">
      <c r="A358" s="169"/>
      <c r="B358" s="177"/>
      <c r="C358" s="170"/>
      <c r="D358" s="177"/>
      <c r="E358" s="175" t="s">
        <v>161</v>
      </c>
      <c r="F358" s="177"/>
      <c r="G358" s="178"/>
      <c r="H358" s="184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62">IF(I358&gt;0,J358*100/I358,0)</f>
        <v>0</v>
      </c>
      <c r="L358" s="162"/>
      <c r="M358" s="162"/>
      <c r="N358" s="162"/>
      <c r="O358" s="162"/>
      <c r="P358" s="162"/>
    </row>
    <row r="359" spans="1:26" ht="18.75" hidden="1">
      <c r="A359" s="169"/>
      <c r="B359" s="177"/>
      <c r="C359" s="170"/>
      <c r="D359" s="177"/>
      <c r="E359" s="177"/>
      <c r="F359" s="177"/>
      <c r="G359" s="178"/>
      <c r="H359" s="184" t="s">
        <v>46</v>
      </c>
      <c r="I359" s="269">
        <f ca="1">IFERROR(__xludf.DUMMYFUNCTION("IMPORTRANGE(""https://docs.google.com/spreadsheets/d/1QqKyyYR6Q21VydFLVH3TRQUabQu_ym0Zz7PgGX0-kHA/edit?usp=sharing"",""แผน!EO60"")"),0)</f>
        <v>0</v>
      </c>
      <c r="J359" s="269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62"/>
        <v>0</v>
      </c>
      <c r="L359" s="162"/>
      <c r="M359" s="162"/>
      <c r="N359" s="162"/>
      <c r="O359" s="162"/>
      <c r="P359" s="162"/>
    </row>
    <row r="360" spans="1:26" ht="18.75" hidden="1">
      <c r="A360" s="169"/>
      <c r="B360" s="177"/>
      <c r="C360" s="170"/>
      <c r="D360" s="177"/>
      <c r="E360" s="175" t="s">
        <v>162</v>
      </c>
      <c r="F360" s="177"/>
      <c r="G360" s="178"/>
      <c r="H360" s="759" t="s">
        <v>35</v>
      </c>
      <c r="I360" s="269">
        <f ca="1">IFERROR(__xludf.DUMMYFUNCTION("IMPORTRANGE(""https://docs.google.com/spreadsheets/d/1QqKyyYR6Q21VydFLVH3TRQUabQu_ym0Zz7PgGX0-kHA/edit?usp=sharing"",""แผน!EP60"")"),0)</f>
        <v>0</v>
      </c>
      <c r="J360" s="269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62"/>
        <v>0</v>
      </c>
      <c r="L360" s="162"/>
      <c r="M360" s="162"/>
      <c r="N360" s="162"/>
      <c r="O360" s="162"/>
      <c r="P360" s="162"/>
    </row>
    <row r="361" spans="1:26" ht="18.75" hidden="1">
      <c r="A361" s="169"/>
      <c r="B361" s="177"/>
      <c r="C361" s="170"/>
      <c r="D361" s="177"/>
      <c r="E361" s="177"/>
      <c r="F361" s="177"/>
      <c r="G361" s="178"/>
      <c r="H361" s="759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62"/>
        <v>0</v>
      </c>
      <c r="L361" s="162"/>
      <c r="M361" s="162"/>
      <c r="N361" s="162"/>
      <c r="O361" s="162"/>
      <c r="P361" s="162"/>
    </row>
    <row r="362" spans="1:26" ht="18.75" hidden="1">
      <c r="A362" s="169"/>
      <c r="B362" s="177"/>
      <c r="C362" s="170"/>
      <c r="D362" s="177"/>
      <c r="E362" s="175" t="s">
        <v>163</v>
      </c>
      <c r="F362" s="177"/>
      <c r="G362" s="178"/>
      <c r="H362" s="759" t="s">
        <v>35</v>
      </c>
      <c r="I362" s="269">
        <f ca="1">IFERROR(__xludf.DUMMYFUNCTION("IMPORTRANGE(""https://docs.google.com/spreadsheets/d/1QqKyyYR6Q21VydFLVH3TRQUabQu_ym0Zz7PgGX0-kHA/edit?usp=sharing"",""แผน!EP60"")"),0)</f>
        <v>0</v>
      </c>
      <c r="J362" s="269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62"/>
        <v>0</v>
      </c>
      <c r="L362" s="162"/>
      <c r="M362" s="162"/>
      <c r="N362" s="162"/>
      <c r="O362" s="162"/>
      <c r="P362" s="162"/>
    </row>
    <row r="363" spans="1:26" ht="18.75" hidden="1">
      <c r="A363" s="470" t="s">
        <v>330</v>
      </c>
      <c r="B363" s="177"/>
      <c r="C363" s="170"/>
      <c r="D363" s="177"/>
      <c r="E363" s="446"/>
      <c r="F363" s="177"/>
      <c r="G363" s="178"/>
      <c r="H363" s="759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62"/>
        <v>0</v>
      </c>
      <c r="L363" s="162"/>
      <c r="M363" s="162"/>
      <c r="N363" s="162"/>
      <c r="O363" s="162"/>
      <c r="P363" s="162"/>
    </row>
    <row r="364" spans="1:26" ht="19.5" hidden="1">
      <c r="A364" s="471"/>
      <c r="B364" s="472"/>
      <c r="C364" s="473"/>
      <c r="D364" s="474" t="s">
        <v>164</v>
      </c>
      <c r="E364" s="475"/>
      <c r="F364" s="475"/>
      <c r="G364" s="476"/>
      <c r="H364" s="477" t="s">
        <v>35</v>
      </c>
      <c r="I364" s="478">
        <f ca="1">I365+I374</f>
        <v>0</v>
      </c>
      <c r="J364" s="478">
        <f ca="1">J365+J374</f>
        <v>0</v>
      </c>
      <c r="K364" s="479">
        <f t="shared" ca="1" si="62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165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166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69"/>
      <c r="B367" s="170"/>
      <c r="C367" s="163" t="s">
        <v>16</v>
      </c>
      <c r="D367" s="856" t="s">
        <v>38</v>
      </c>
      <c r="E367" s="172"/>
      <c r="F367" s="172"/>
      <c r="G367" s="173"/>
      <c r="H367" s="757"/>
      <c r="I367" s="269"/>
      <c r="J367" s="269"/>
      <c r="K367" s="497"/>
      <c r="L367" s="162"/>
      <c r="M367" s="162"/>
      <c r="N367" s="162"/>
      <c r="O367" s="162"/>
      <c r="P367" s="162"/>
    </row>
    <row r="368" spans="1:26" ht="18.75" hidden="1">
      <c r="A368" s="169"/>
      <c r="B368" s="177"/>
      <c r="C368" s="170"/>
      <c r="D368" s="177"/>
      <c r="E368" s="175" t="s">
        <v>161</v>
      </c>
      <c r="F368" s="177"/>
      <c r="G368" s="178"/>
      <c r="H368" s="184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63">IF(I368&gt;0,J368*100/I368,0)</f>
        <v>0</v>
      </c>
      <c r="L368" s="162"/>
      <c r="M368" s="162"/>
      <c r="N368" s="162"/>
      <c r="O368" s="162"/>
      <c r="P368" s="162"/>
    </row>
    <row r="369" spans="1:26" ht="18.75" hidden="1">
      <c r="A369" s="169"/>
      <c r="B369" s="177"/>
      <c r="C369" s="170"/>
      <c r="D369" s="177"/>
      <c r="E369" s="177"/>
      <c r="F369" s="177"/>
      <c r="G369" s="178"/>
      <c r="H369" s="184" t="s">
        <v>46</v>
      </c>
      <c r="I369" s="269">
        <f ca="1">IFERROR(__xludf.DUMMYFUNCTION("IMPORTRANGE(""https://docs.google.com/spreadsheets/d/1QqKyyYR6Q21VydFLVH3TRQUabQu_ym0Zz7PgGX0-kHA/edit?usp=sharing"",""แผน!EI60"")"),0)</f>
        <v>0</v>
      </c>
      <c r="J369" s="269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63"/>
        <v>0</v>
      </c>
      <c r="L369" s="162"/>
      <c r="M369" s="162"/>
      <c r="N369" s="162"/>
      <c r="O369" s="162"/>
      <c r="P369" s="162"/>
    </row>
    <row r="370" spans="1:26" ht="18.75" hidden="1">
      <c r="A370" s="169"/>
      <c r="B370" s="177"/>
      <c r="C370" s="170"/>
      <c r="D370" s="177"/>
      <c r="E370" s="175" t="s">
        <v>162</v>
      </c>
      <c r="F370" s="177"/>
      <c r="G370" s="178"/>
      <c r="H370" s="759" t="s">
        <v>35</v>
      </c>
      <c r="I370" s="269">
        <f ca="1">IFERROR(__xludf.DUMMYFUNCTION("IMPORTRANGE(""https://docs.google.com/spreadsheets/d/1QqKyyYR6Q21VydFLVH3TRQUabQu_ym0Zz7PgGX0-kHA/edit?usp=sharing"",""แผน!EJ60"")"),0)</f>
        <v>0</v>
      </c>
      <c r="J370" s="269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63"/>
        <v>0</v>
      </c>
      <c r="L370" s="162"/>
      <c r="M370" s="162"/>
      <c r="N370" s="162"/>
      <c r="O370" s="162"/>
      <c r="P370" s="162"/>
    </row>
    <row r="371" spans="1:26" ht="18.75" hidden="1">
      <c r="A371" s="169"/>
      <c r="B371" s="177"/>
      <c r="C371" s="170"/>
      <c r="D371" s="177"/>
      <c r="E371" s="177"/>
      <c r="F371" s="177"/>
      <c r="G371" s="178"/>
      <c r="H371" s="759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63"/>
        <v>0</v>
      </c>
      <c r="L371" s="162"/>
      <c r="M371" s="162"/>
      <c r="N371" s="162"/>
      <c r="O371" s="162"/>
      <c r="P371" s="162"/>
    </row>
    <row r="372" spans="1:26" ht="18.75" hidden="1">
      <c r="A372" s="169"/>
      <c r="B372" s="177"/>
      <c r="C372" s="170"/>
      <c r="D372" s="177"/>
      <c r="E372" s="175" t="s">
        <v>163</v>
      </c>
      <c r="F372" s="177"/>
      <c r="G372" s="178"/>
      <c r="H372" s="759" t="s">
        <v>35</v>
      </c>
      <c r="I372" s="269">
        <f ca="1">IFERROR(__xludf.DUMMYFUNCTION("IMPORTRANGE(""https://docs.google.com/spreadsheets/d/1QqKyyYR6Q21VydFLVH3TRQUabQu_ym0Zz7PgGX0-kHA/edit?usp=sharing"",""แผน!EJ60"")"),0)</f>
        <v>0</v>
      </c>
      <c r="J372" s="269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63"/>
        <v>0</v>
      </c>
      <c r="L372" s="162"/>
      <c r="M372" s="162"/>
      <c r="N372" s="162"/>
      <c r="O372" s="162"/>
      <c r="P372" s="162"/>
    </row>
    <row r="373" spans="1:26" ht="18.75" hidden="1">
      <c r="A373" s="470" t="s">
        <v>330</v>
      </c>
      <c r="B373" s="177"/>
      <c r="C373" s="170"/>
      <c r="D373" s="177"/>
      <c r="E373" s="446"/>
      <c r="F373" s="177"/>
      <c r="G373" s="178"/>
      <c r="H373" s="759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63"/>
        <v>0</v>
      </c>
      <c r="L373" s="162"/>
      <c r="M373" s="162"/>
      <c r="N373" s="162"/>
      <c r="O373" s="162"/>
      <c r="P373" s="162"/>
    </row>
    <row r="374" spans="1:26" ht="19.5" hidden="1">
      <c r="A374" s="482"/>
      <c r="B374" s="483"/>
      <c r="C374" s="485"/>
      <c r="D374" s="485" t="s">
        <v>167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168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69"/>
      <c r="B376" s="170"/>
      <c r="C376" s="163" t="s">
        <v>16</v>
      </c>
      <c r="D376" s="856" t="s">
        <v>38</v>
      </c>
      <c r="E376" s="172"/>
      <c r="F376" s="172"/>
      <c r="G376" s="173"/>
      <c r="H376" s="757"/>
      <c r="I376" s="269"/>
      <c r="J376" s="269"/>
      <c r="K376" s="497"/>
      <c r="L376" s="162"/>
      <c r="M376" s="162"/>
      <c r="N376" s="162"/>
      <c r="O376" s="162"/>
      <c r="P376" s="162"/>
    </row>
    <row r="377" spans="1:26" ht="18.75" hidden="1">
      <c r="A377" s="169"/>
      <c r="B377" s="177"/>
      <c r="C377" s="170"/>
      <c r="D377" s="177"/>
      <c r="E377" s="175" t="s">
        <v>161</v>
      </c>
      <c r="F377" s="177"/>
      <c r="G377" s="178"/>
      <c r="H377" s="184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64">IF(I377&gt;0,J377*100/I377,0)</f>
        <v>0</v>
      </c>
      <c r="L377" s="162"/>
      <c r="M377" s="162"/>
      <c r="N377" s="162"/>
      <c r="O377" s="162"/>
      <c r="P377" s="162"/>
    </row>
    <row r="378" spans="1:26" ht="18.75" hidden="1">
      <c r="A378" s="169"/>
      <c r="B378" s="177"/>
      <c r="C378" s="170"/>
      <c r="D378" s="177"/>
      <c r="E378" s="177"/>
      <c r="F378" s="177"/>
      <c r="G378" s="178"/>
      <c r="H378" s="184" t="s">
        <v>46</v>
      </c>
      <c r="I378" s="269">
        <f ca="1">IFERROR(__xludf.DUMMYFUNCTION("IMPORTRANGE(""https://docs.google.com/spreadsheets/d/1QqKyyYR6Q21VydFLVH3TRQUabQu_ym0Zz7PgGX0-kHA/edit?usp=sharing"",""แผน!ET60"")"),0)</f>
        <v>0</v>
      </c>
      <c r="J378" s="269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64"/>
        <v>0</v>
      </c>
      <c r="L378" s="162"/>
      <c r="M378" s="162"/>
      <c r="N378" s="162"/>
      <c r="O378" s="162"/>
      <c r="P378" s="162"/>
    </row>
    <row r="379" spans="1:26" ht="18.75" hidden="1">
      <c r="A379" s="169"/>
      <c r="B379" s="177"/>
      <c r="C379" s="170"/>
      <c r="D379" s="177"/>
      <c r="E379" s="175" t="s">
        <v>162</v>
      </c>
      <c r="F379" s="177"/>
      <c r="G379" s="178"/>
      <c r="H379" s="759" t="s">
        <v>35</v>
      </c>
      <c r="I379" s="269">
        <f ca="1">IFERROR(__xludf.DUMMYFUNCTION("IMPORTRANGE(""https://docs.google.com/spreadsheets/d/1QqKyyYR6Q21VydFLVH3TRQUabQu_ym0Zz7PgGX0-kHA/edit?usp=sharing"",""แผน!EU60"")"),0)</f>
        <v>0</v>
      </c>
      <c r="J379" s="269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64"/>
        <v>0</v>
      </c>
      <c r="L379" s="162"/>
      <c r="M379" s="162"/>
      <c r="N379" s="162"/>
      <c r="O379" s="162"/>
      <c r="P379" s="162"/>
    </row>
    <row r="380" spans="1:26" ht="18.75" hidden="1">
      <c r="A380" s="169"/>
      <c r="B380" s="177"/>
      <c r="C380" s="170"/>
      <c r="D380" s="177"/>
      <c r="E380" s="177"/>
      <c r="F380" s="177"/>
      <c r="G380" s="178"/>
      <c r="H380" s="759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64"/>
        <v>0</v>
      </c>
      <c r="L380" s="162"/>
      <c r="M380" s="162"/>
      <c r="N380" s="162"/>
      <c r="O380" s="162"/>
      <c r="P380" s="162"/>
    </row>
    <row r="381" spans="1:26" ht="18.75" hidden="1">
      <c r="A381" s="169"/>
      <c r="B381" s="177"/>
      <c r="C381" s="170"/>
      <c r="D381" s="177"/>
      <c r="E381" s="175" t="s">
        <v>163</v>
      </c>
      <c r="F381" s="177"/>
      <c r="G381" s="178"/>
      <c r="H381" s="759" t="s">
        <v>35</v>
      </c>
      <c r="I381" s="269">
        <f ca="1">IFERROR(__xludf.DUMMYFUNCTION("IMPORTRANGE(""https://docs.google.com/spreadsheets/d/1QqKyyYR6Q21VydFLVH3TRQUabQu_ym0Zz7PgGX0-kHA/edit?usp=sharing"",""แผน!EU60"")"),0)</f>
        <v>0</v>
      </c>
      <c r="J381" s="269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64"/>
        <v>0</v>
      </c>
      <c r="L381" s="162"/>
      <c r="M381" s="162"/>
      <c r="N381" s="162"/>
      <c r="O381" s="162"/>
      <c r="P381" s="162"/>
    </row>
    <row r="382" spans="1:26" ht="18.75" hidden="1">
      <c r="A382" s="470" t="s">
        <v>330</v>
      </c>
      <c r="B382" s="177"/>
      <c r="C382" s="170"/>
      <c r="D382" s="177"/>
      <c r="E382" s="446"/>
      <c r="F382" s="177"/>
      <c r="G382" s="178"/>
      <c r="H382" s="759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64"/>
        <v>0</v>
      </c>
      <c r="L382" s="162"/>
      <c r="M382" s="162"/>
      <c r="N382" s="162"/>
      <c r="O382" s="162"/>
      <c r="P382" s="162"/>
    </row>
    <row r="383" spans="1:26" ht="19.5" hidden="1">
      <c r="A383" s="255"/>
      <c r="B383" s="263"/>
      <c r="C383" s="256"/>
      <c r="D383" s="858" t="s">
        <v>169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 hidden="1">
      <c r="A384" s="169"/>
      <c r="B384" s="170"/>
      <c r="C384" s="32" t="s">
        <v>16</v>
      </c>
      <c r="D384" s="856" t="s">
        <v>38</v>
      </c>
      <c r="E384" s="172"/>
      <c r="F384" s="172"/>
      <c r="G384" s="173"/>
      <c r="H384" s="757"/>
      <c r="I384" s="269"/>
      <c r="J384" s="269"/>
      <c r="K384" s="497"/>
      <c r="L384" s="162"/>
      <c r="M384" s="162"/>
      <c r="N384" s="162"/>
      <c r="O384" s="162"/>
      <c r="P384" s="162"/>
    </row>
    <row r="385" spans="1:26" ht="18.75" hidden="1">
      <c r="A385" s="377"/>
      <c r="B385" s="380"/>
      <c r="C385" s="378"/>
      <c r="D385" s="380"/>
      <c r="E385" s="499" t="s">
        <v>163</v>
      </c>
      <c r="F385" s="380"/>
      <c r="G385" s="381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66</v>
      </c>
      <c r="I388" s="522">
        <f>I400</f>
        <v>0</v>
      </c>
      <c r="J388" s="522">
        <f>J400</f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6"/>
      <c r="B389" s="147"/>
      <c r="C389" s="148" t="s">
        <v>16</v>
      </c>
      <c r="D389" s="855" t="s">
        <v>17</v>
      </c>
      <c r="E389" s="147"/>
      <c r="F389" s="147"/>
      <c r="G389" s="150"/>
      <c r="H389" s="151" t="s">
        <v>12</v>
      </c>
      <c r="I389" s="419"/>
      <c r="J389" s="419"/>
      <c r="K389" s="153"/>
      <c r="L389" s="154">
        <f ca="1">L390+L391</f>
        <v>0</v>
      </c>
      <c r="M389" s="154">
        <f ca="1">M390+M391</f>
        <v>0</v>
      </c>
      <c r="N389" s="154">
        <f ca="1">N390+N391</f>
        <v>0</v>
      </c>
      <c r="O389" s="154">
        <f t="shared" ref="O389:O397" ca="1" si="65">IF(L389&gt;0,N389*100/L389,0)</f>
        <v>0</v>
      </c>
      <c r="P389" s="154">
        <f t="shared" ref="P389:P397" ca="1" si="66">IF(M389&gt;0,N389*100/M389,0)</f>
        <v>0</v>
      </c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8.75" hidden="1">
      <c r="A390" s="155"/>
      <c r="B390" s="39"/>
      <c r="C390" s="39"/>
      <c r="D390" s="39"/>
      <c r="E390" s="222" t="s">
        <v>18</v>
      </c>
      <c r="F390" s="39"/>
      <c r="G390" s="156"/>
      <c r="H390" s="157" t="s">
        <v>12</v>
      </c>
      <c r="I390" s="612"/>
      <c r="J390" s="612"/>
      <c r="K390" s="92"/>
      <c r="L390" s="92">
        <f t="shared" ref="L390:N391" si="67">L393+L396</f>
        <v>0</v>
      </c>
      <c r="M390" s="92">
        <f t="shared" si="67"/>
        <v>0</v>
      </c>
      <c r="N390" s="92">
        <f t="shared" si="67"/>
        <v>0</v>
      </c>
      <c r="O390" s="92">
        <f t="shared" si="65"/>
        <v>0</v>
      </c>
      <c r="P390" s="92">
        <f t="shared" si="66"/>
        <v>0</v>
      </c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8.75" hidden="1">
      <c r="A391" s="155"/>
      <c r="B391" s="39"/>
      <c r="C391" s="39"/>
      <c r="D391" s="39"/>
      <c r="E391" s="222" t="s">
        <v>19</v>
      </c>
      <c r="F391" s="39"/>
      <c r="G391" s="156"/>
      <c r="H391" s="157" t="s">
        <v>12</v>
      </c>
      <c r="I391" s="612"/>
      <c r="J391" s="612"/>
      <c r="K391" s="92"/>
      <c r="L391" s="92">
        <f t="shared" ca="1" si="67"/>
        <v>0</v>
      </c>
      <c r="M391" s="92">
        <f t="shared" ca="1" si="67"/>
        <v>0</v>
      </c>
      <c r="N391" s="92">
        <f t="shared" ca="1" si="67"/>
        <v>0</v>
      </c>
      <c r="O391" s="92">
        <f t="shared" ca="1" si="65"/>
        <v>0</v>
      </c>
      <c r="P391" s="92">
        <f t="shared" ca="1" si="66"/>
        <v>0</v>
      </c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8.75" hidden="1">
      <c r="A392" s="158"/>
      <c r="B392" s="32"/>
      <c r="C392" s="281"/>
      <c r="D392" s="33" t="s">
        <v>20</v>
      </c>
      <c r="E392" s="32"/>
      <c r="F392" s="32"/>
      <c r="G392" s="34"/>
      <c r="H392" s="160" t="s">
        <v>12</v>
      </c>
      <c r="I392" s="183"/>
      <c r="J392" s="183"/>
      <c r="K392" s="162"/>
      <c r="L392" s="497">
        <f ca="1">L393+L394</f>
        <v>0</v>
      </c>
      <c r="M392" s="497">
        <f ca="1">M393+M394</f>
        <v>0</v>
      </c>
      <c r="N392" s="497">
        <f ca="1">N393+N394</f>
        <v>0</v>
      </c>
      <c r="O392" s="497">
        <f t="shared" ca="1" si="65"/>
        <v>0</v>
      </c>
      <c r="P392" s="497">
        <f t="shared" ca="1" si="66"/>
        <v>0</v>
      </c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9.5" hidden="1">
      <c r="A393" s="155"/>
      <c r="B393" s="39"/>
      <c r="C393" s="163"/>
      <c r="D393" s="39"/>
      <c r="E393" s="222" t="s">
        <v>36</v>
      </c>
      <c r="F393" s="39"/>
      <c r="G393" s="156"/>
      <c r="H393" s="164" t="s">
        <v>12</v>
      </c>
      <c r="I393" s="165"/>
      <c r="J393" s="165"/>
      <c r="K393" s="166"/>
      <c r="L393" s="92">
        <v>0</v>
      </c>
      <c r="M393" s="92">
        <v>0</v>
      </c>
      <c r="N393" s="92">
        <v>0</v>
      </c>
      <c r="O393" s="92">
        <f t="shared" si="65"/>
        <v>0</v>
      </c>
      <c r="P393" s="92">
        <f t="shared" si="66"/>
        <v>0</v>
      </c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9.5" hidden="1">
      <c r="A394" s="155"/>
      <c r="B394" s="39"/>
      <c r="C394" s="163"/>
      <c r="D394" s="39"/>
      <c r="E394" s="222" t="s">
        <v>37</v>
      </c>
      <c r="F394" s="39"/>
      <c r="G394" s="156"/>
      <c r="H394" s="164" t="s">
        <v>12</v>
      </c>
      <c r="I394" s="165"/>
      <c r="J394" s="165"/>
      <c r="K394" s="166"/>
      <c r="L394" s="92">
        <f ca="1">IFERROR(__xludf.DUMMYFUNCTION("IMPORTRANGE(""https://docs.google.com/spreadsheets/d/1MeEWN-I1oV_STSDYn1IFDPWt_1FKiwhDph83XaGc0o0/edit?usp=sharing"",""งบพรบ!FG60"")"),0)</f>
        <v>0</v>
      </c>
      <c r="M394" s="92">
        <f ca="1">IFERROR(__xludf.DUMMYFUNCTION("IMPORTRANGE(""https://docs.google.com/spreadsheets/d/1MeEWN-I1oV_STSDYn1IFDPWt_1FKiwhDph83XaGc0o0/edit?usp=sharing"",""งบพรบ!FL60"")"),0)</f>
        <v>0</v>
      </c>
      <c r="N394" s="92">
        <f ca="1">IFERROR(__xludf.DUMMYFUNCTION("IMPORTRANGE(""https://docs.google.com/spreadsheets/d/1MeEWN-I1oV_STSDYn1IFDPWt_1FKiwhDph83XaGc0o0/edit?usp=sharing"",""งบพรบ!FN60"")"),0)</f>
        <v>0</v>
      </c>
      <c r="O394" s="92">
        <f t="shared" ca="1" si="65"/>
        <v>0</v>
      </c>
      <c r="P394" s="92">
        <f t="shared" ca="1" si="66"/>
        <v>0</v>
      </c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8.75" hidden="1">
      <c r="A395" s="158"/>
      <c r="B395" s="32"/>
      <c r="C395" s="281"/>
      <c r="D395" s="33" t="s">
        <v>21</v>
      </c>
      <c r="E395" s="32"/>
      <c r="F395" s="32"/>
      <c r="G395" s="34"/>
      <c r="H395" s="167" t="s">
        <v>12</v>
      </c>
      <c r="I395" s="183"/>
      <c r="J395" s="183"/>
      <c r="K395" s="162"/>
      <c r="L395" s="497">
        <f ca="1">L396+L397</f>
        <v>0</v>
      </c>
      <c r="M395" s="497">
        <f ca="1">M396+M397</f>
        <v>0</v>
      </c>
      <c r="N395" s="497">
        <f ca="1">N396+N397</f>
        <v>0</v>
      </c>
      <c r="O395" s="497">
        <f t="shared" ca="1" si="65"/>
        <v>0</v>
      </c>
      <c r="P395" s="497">
        <f t="shared" ca="1" si="66"/>
        <v>0</v>
      </c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9.5" hidden="1">
      <c r="A396" s="155"/>
      <c r="B396" s="39"/>
      <c r="C396" s="163"/>
      <c r="D396" s="39"/>
      <c r="E396" s="222" t="s">
        <v>18</v>
      </c>
      <c r="F396" s="39"/>
      <c r="G396" s="156"/>
      <c r="H396" s="164" t="s">
        <v>12</v>
      </c>
      <c r="I396" s="165"/>
      <c r="J396" s="165"/>
      <c r="K396" s="166"/>
      <c r="L396" s="92">
        <v>0</v>
      </c>
      <c r="M396" s="92">
        <v>0</v>
      </c>
      <c r="N396" s="92">
        <v>0</v>
      </c>
      <c r="O396" s="92">
        <f t="shared" si="65"/>
        <v>0</v>
      </c>
      <c r="P396" s="92">
        <f t="shared" si="66"/>
        <v>0</v>
      </c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9.5" hidden="1">
      <c r="A397" s="155"/>
      <c r="B397" s="39"/>
      <c r="C397" s="163"/>
      <c r="D397" s="39"/>
      <c r="E397" s="222" t="s">
        <v>19</v>
      </c>
      <c r="F397" s="39"/>
      <c r="G397" s="156"/>
      <c r="H397" s="168" t="s">
        <v>12</v>
      </c>
      <c r="I397" s="165"/>
      <c r="J397" s="165"/>
      <c r="K397" s="166"/>
      <c r="L397" s="92">
        <f ca="1">IFERROR(__xludf.DUMMYFUNCTION("IMPORTRANGE(""https://docs.google.com/spreadsheets/d/1MeEWN-I1oV_STSDYn1IFDPWt_1FKiwhDph83XaGc0o0/edit?usp=sharing"",""งบพรบ!FJ60"")"),0)</f>
        <v>0</v>
      </c>
      <c r="M397" s="92">
        <f ca="1">IFERROR(__xludf.DUMMYFUNCTION("IMPORTRANGE(""https://docs.google.com/spreadsheets/d/1MeEWN-I1oV_STSDYn1IFDPWt_1FKiwhDph83XaGc0o0/edit?usp=sharing"",""งบพรบ!FM60"")"),0)</f>
        <v>0</v>
      </c>
      <c r="N397" s="92">
        <f ca="1">IFERROR(__xludf.DUMMYFUNCTION("IMPORTRANGE(""https://docs.google.com/spreadsheets/d/1MeEWN-I1oV_STSDYn1IFDPWt_1FKiwhDph83XaGc0o0/edit?usp=sharing"",""งบพรบ!FO60"")"),0)</f>
        <v>0</v>
      </c>
      <c r="O397" s="92">
        <f t="shared" ca="1" si="65"/>
        <v>0</v>
      </c>
      <c r="P397" s="92">
        <f t="shared" ca="1" si="66"/>
        <v>0</v>
      </c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9.5" hidden="1">
      <c r="A398" s="169"/>
      <c r="B398" s="170"/>
      <c r="C398" s="163" t="s">
        <v>16</v>
      </c>
      <c r="D398" s="856" t="s">
        <v>38</v>
      </c>
      <c r="E398" s="172"/>
      <c r="F398" s="172"/>
      <c r="G398" s="173"/>
      <c r="H398" s="757"/>
      <c r="I398" s="183"/>
      <c r="J398" s="269"/>
      <c r="K398" s="497"/>
      <c r="L398" s="497"/>
      <c r="M398" s="497"/>
      <c r="N398" s="497"/>
      <c r="O398" s="162"/>
      <c r="P398" s="162"/>
    </row>
    <row r="399" spans="1:26" ht="18.75" hidden="1">
      <c r="A399" s="525"/>
      <c r="B399" s="147"/>
      <c r="C399" s="526"/>
      <c r="D399" s="527" t="s">
        <v>174</v>
      </c>
      <c r="E399" s="414"/>
      <c r="F399" s="147"/>
      <c r="G399" s="150"/>
      <c r="H399" s="528" t="s">
        <v>9</v>
      </c>
      <c r="I399" s="269">
        <v>0</v>
      </c>
      <c r="J399" s="214">
        <v>0</v>
      </c>
      <c r="K399" s="497">
        <f>IF(I399&gt;0,J399*100/I399,0)</f>
        <v>0</v>
      </c>
      <c r="L399" s="529"/>
      <c r="M399" s="529"/>
      <c r="N399" s="529"/>
      <c r="O399" s="529"/>
      <c r="P399" s="529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8.75" hidden="1">
      <c r="A400" s="284"/>
      <c r="B400" s="32"/>
      <c r="C400" s="280"/>
      <c r="D400" s="446" t="s">
        <v>175</v>
      </c>
      <c r="E400" s="170"/>
      <c r="F400" s="32"/>
      <c r="G400" s="34"/>
      <c r="H400" s="276" t="s">
        <v>66</v>
      </c>
      <c r="I400" s="269">
        <v>0</v>
      </c>
      <c r="J400" s="214">
        <v>0</v>
      </c>
      <c r="K400" s="497">
        <f>IF(I400&gt;0,J400*100/I400,0)</f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66</v>
      </c>
      <c r="I401" s="522">
        <f>I412</f>
        <v>0</v>
      </c>
      <c r="J401" s="522">
        <f>J412</f>
        <v>0</v>
      </c>
      <c r="K401" s="523">
        <f>IF(I401&gt;0,J401*100/I401,0)</f>
        <v>0</v>
      </c>
      <c r="L401" s="524"/>
      <c r="M401" s="524"/>
      <c r="N401" s="524"/>
      <c r="O401" s="524"/>
      <c r="P401" s="524"/>
    </row>
    <row r="402" spans="1:26" ht="19.5" hidden="1">
      <c r="A402" s="146"/>
      <c r="B402" s="147"/>
      <c r="C402" s="148" t="s">
        <v>16</v>
      </c>
      <c r="D402" s="855" t="s">
        <v>17</v>
      </c>
      <c r="E402" s="147"/>
      <c r="F402" s="147"/>
      <c r="G402" s="150"/>
      <c r="H402" s="151" t="s">
        <v>12</v>
      </c>
      <c r="I402" s="419"/>
      <c r="J402" s="419"/>
      <c r="K402" s="153"/>
      <c r="L402" s="154">
        <f ca="1">L403+L404</f>
        <v>0</v>
      </c>
      <c r="M402" s="154">
        <f ca="1">M403+M404</f>
        <v>0</v>
      </c>
      <c r="N402" s="154">
        <f ca="1">N403+N404</f>
        <v>0</v>
      </c>
      <c r="O402" s="154">
        <f t="shared" ref="O402:O410" ca="1" si="68">IF(L402&gt;0,N402*100/L402,0)</f>
        <v>0</v>
      </c>
      <c r="P402" s="154">
        <f t="shared" ref="P402:P410" ca="1" si="69">IF(M402&gt;0,N402*100/M402,0)</f>
        <v>0</v>
      </c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8.75" hidden="1">
      <c r="A403" s="155"/>
      <c r="B403" s="39"/>
      <c r="C403" s="39"/>
      <c r="D403" s="39"/>
      <c r="E403" s="222" t="s">
        <v>18</v>
      </c>
      <c r="F403" s="39"/>
      <c r="G403" s="156"/>
      <c r="H403" s="157" t="s">
        <v>12</v>
      </c>
      <c r="I403" s="612"/>
      <c r="J403" s="612"/>
      <c r="K403" s="92"/>
      <c r="L403" s="92">
        <f t="shared" ref="L403:N404" si="70">L406+L409</f>
        <v>0</v>
      </c>
      <c r="M403" s="92">
        <f t="shared" si="70"/>
        <v>0</v>
      </c>
      <c r="N403" s="92">
        <f t="shared" si="70"/>
        <v>0</v>
      </c>
      <c r="O403" s="92">
        <f t="shared" si="68"/>
        <v>0</v>
      </c>
      <c r="P403" s="92">
        <f t="shared" si="69"/>
        <v>0</v>
      </c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8.75" hidden="1">
      <c r="A404" s="155"/>
      <c r="B404" s="39"/>
      <c r="C404" s="39"/>
      <c r="D404" s="39"/>
      <c r="E404" s="222" t="s">
        <v>19</v>
      </c>
      <c r="F404" s="39"/>
      <c r="G404" s="156"/>
      <c r="H404" s="157" t="s">
        <v>12</v>
      </c>
      <c r="I404" s="612"/>
      <c r="J404" s="612"/>
      <c r="K404" s="92"/>
      <c r="L404" s="92">
        <f t="shared" ca="1" si="70"/>
        <v>0</v>
      </c>
      <c r="M404" s="92">
        <f t="shared" ca="1" si="70"/>
        <v>0</v>
      </c>
      <c r="N404" s="92">
        <f t="shared" ca="1" si="70"/>
        <v>0</v>
      </c>
      <c r="O404" s="92">
        <f t="shared" ca="1" si="68"/>
        <v>0</v>
      </c>
      <c r="P404" s="92">
        <f t="shared" ca="1" si="69"/>
        <v>0</v>
      </c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8.75" hidden="1">
      <c r="A405" s="158"/>
      <c r="B405" s="32"/>
      <c r="C405" s="281"/>
      <c r="D405" s="33" t="s">
        <v>20</v>
      </c>
      <c r="E405" s="32"/>
      <c r="F405" s="32"/>
      <c r="G405" s="34"/>
      <c r="H405" s="160" t="s">
        <v>12</v>
      </c>
      <c r="I405" s="183"/>
      <c r="J405" s="183"/>
      <c r="K405" s="162"/>
      <c r="L405" s="497">
        <f ca="1">L406+L407</f>
        <v>0</v>
      </c>
      <c r="M405" s="497">
        <f ca="1">M406+M407</f>
        <v>0</v>
      </c>
      <c r="N405" s="497">
        <f ca="1">N406+N407</f>
        <v>0</v>
      </c>
      <c r="O405" s="497">
        <f t="shared" ca="1" si="68"/>
        <v>0</v>
      </c>
      <c r="P405" s="497">
        <f t="shared" ca="1" si="69"/>
        <v>0</v>
      </c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9.5" hidden="1">
      <c r="A406" s="155"/>
      <c r="B406" s="39"/>
      <c r="C406" s="163"/>
      <c r="D406" s="39"/>
      <c r="E406" s="222" t="s">
        <v>36</v>
      </c>
      <c r="F406" s="39"/>
      <c r="G406" s="156"/>
      <c r="H406" s="164" t="s">
        <v>12</v>
      </c>
      <c r="I406" s="165"/>
      <c r="J406" s="165"/>
      <c r="K406" s="166"/>
      <c r="L406" s="92">
        <v>0</v>
      </c>
      <c r="M406" s="92">
        <v>0</v>
      </c>
      <c r="N406" s="92">
        <v>0</v>
      </c>
      <c r="O406" s="92">
        <f t="shared" si="68"/>
        <v>0</v>
      </c>
      <c r="P406" s="92">
        <f t="shared" si="69"/>
        <v>0</v>
      </c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9.5" hidden="1">
      <c r="A407" s="155"/>
      <c r="B407" s="39"/>
      <c r="C407" s="163"/>
      <c r="D407" s="39"/>
      <c r="E407" s="222" t="s">
        <v>37</v>
      </c>
      <c r="F407" s="39"/>
      <c r="G407" s="156"/>
      <c r="H407" s="164" t="s">
        <v>12</v>
      </c>
      <c r="I407" s="165"/>
      <c r="J407" s="165"/>
      <c r="K407" s="166"/>
      <c r="L407" s="92">
        <f ca="1">IFERROR(__xludf.DUMMYFUNCTION("IMPORTRANGE(""https://docs.google.com/spreadsheets/d/1MeEWN-I1oV_STSDYn1IFDPWt_1FKiwhDph83XaGc0o0/edit?usp=sharing"",""งบพรบ!FQ60"")"),0)</f>
        <v>0</v>
      </c>
      <c r="M407" s="92">
        <f ca="1">IFERROR(__xludf.DUMMYFUNCTION("IMPORTRANGE(""https://docs.google.com/spreadsheets/d/1MeEWN-I1oV_STSDYn1IFDPWt_1FKiwhDph83XaGc0o0/edit?usp=sharing"",""งบพรบ!FV60"")"),0)</f>
        <v>0</v>
      </c>
      <c r="N407" s="92">
        <f ca="1">IFERROR(__xludf.DUMMYFUNCTION("IMPORTRANGE(""https://docs.google.com/spreadsheets/d/1MeEWN-I1oV_STSDYn1IFDPWt_1FKiwhDph83XaGc0o0/edit?usp=sharing"",""งบพรบ!FX60"")"),0)</f>
        <v>0</v>
      </c>
      <c r="O407" s="92">
        <f t="shared" ca="1" si="68"/>
        <v>0</v>
      </c>
      <c r="P407" s="92">
        <f t="shared" ca="1" si="69"/>
        <v>0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8.75" hidden="1">
      <c r="A408" s="158"/>
      <c r="B408" s="32"/>
      <c r="C408" s="281"/>
      <c r="D408" s="33" t="s">
        <v>21</v>
      </c>
      <c r="E408" s="32"/>
      <c r="F408" s="32"/>
      <c r="G408" s="34"/>
      <c r="H408" s="167" t="s">
        <v>12</v>
      </c>
      <c r="I408" s="183"/>
      <c r="J408" s="183"/>
      <c r="K408" s="162"/>
      <c r="L408" s="497">
        <f ca="1">L409+L410</f>
        <v>0</v>
      </c>
      <c r="M408" s="497">
        <f ca="1">M409+M410</f>
        <v>0</v>
      </c>
      <c r="N408" s="497">
        <f ca="1">N409+N410</f>
        <v>0</v>
      </c>
      <c r="O408" s="497">
        <f t="shared" ca="1" si="68"/>
        <v>0</v>
      </c>
      <c r="P408" s="497">
        <f t="shared" ca="1" si="69"/>
        <v>0</v>
      </c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9.5" hidden="1">
      <c r="A409" s="155"/>
      <c r="B409" s="39"/>
      <c r="C409" s="163"/>
      <c r="D409" s="39"/>
      <c r="E409" s="222" t="s">
        <v>18</v>
      </c>
      <c r="F409" s="39"/>
      <c r="G409" s="156"/>
      <c r="H409" s="164" t="s">
        <v>12</v>
      </c>
      <c r="I409" s="165"/>
      <c r="J409" s="165"/>
      <c r="K409" s="166"/>
      <c r="L409" s="92">
        <v>0</v>
      </c>
      <c r="M409" s="92">
        <v>0</v>
      </c>
      <c r="N409" s="92">
        <v>0</v>
      </c>
      <c r="O409" s="92">
        <f t="shared" si="68"/>
        <v>0</v>
      </c>
      <c r="P409" s="92">
        <f t="shared" si="69"/>
        <v>0</v>
      </c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9.5" hidden="1">
      <c r="A410" s="155"/>
      <c r="B410" s="39"/>
      <c r="C410" s="163"/>
      <c r="D410" s="39"/>
      <c r="E410" s="222" t="s">
        <v>19</v>
      </c>
      <c r="F410" s="39"/>
      <c r="G410" s="156"/>
      <c r="H410" s="168" t="s">
        <v>12</v>
      </c>
      <c r="I410" s="165"/>
      <c r="J410" s="165"/>
      <c r="K410" s="166"/>
      <c r="L410" s="92">
        <f ca="1">IFERROR(__xludf.DUMMYFUNCTION("IMPORTRANGE(""https://docs.google.com/spreadsheets/d/1MeEWN-I1oV_STSDYn1IFDPWt_1FKiwhDph83XaGc0o0/edit?usp=sharing"",""งบพรบ!FT60"")"),0)</f>
        <v>0</v>
      </c>
      <c r="M410" s="92">
        <f ca="1">IFERROR(__xludf.DUMMYFUNCTION("IMPORTRANGE(""https://docs.google.com/spreadsheets/d/1MeEWN-I1oV_STSDYn1IFDPWt_1FKiwhDph83XaGc0o0/edit?usp=sharing"",""งบพรบ!FW60"")"),0)</f>
        <v>0</v>
      </c>
      <c r="N410" s="92">
        <f ca="1">IFERROR(__xludf.DUMMYFUNCTION("IMPORTRANGE(""https://docs.google.com/spreadsheets/d/1MeEWN-I1oV_STSDYn1IFDPWt_1FKiwhDph83XaGc0o0/edit?usp=sharing"",""งบพรบ!FY60"")"),0)</f>
        <v>0</v>
      </c>
      <c r="O410" s="92">
        <f t="shared" ca="1" si="68"/>
        <v>0</v>
      </c>
      <c r="P410" s="92">
        <f t="shared" ca="1" si="69"/>
        <v>0</v>
      </c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9.5" hidden="1">
      <c r="A411" s="169"/>
      <c r="B411" s="170"/>
      <c r="C411" s="163" t="s">
        <v>16</v>
      </c>
      <c r="D411" s="854" t="s">
        <v>38</v>
      </c>
      <c r="E411" s="531"/>
      <c r="F411" s="531"/>
      <c r="G411" s="532"/>
      <c r="H411" s="757"/>
      <c r="I411" s="269"/>
      <c r="J411" s="269"/>
      <c r="K411" s="497"/>
      <c r="L411" s="162"/>
      <c r="M411" s="162"/>
      <c r="N411" s="162"/>
      <c r="O411" s="162"/>
      <c r="P411" s="162"/>
    </row>
    <row r="412" spans="1:26" ht="18.75" hidden="1">
      <c r="A412" s="169"/>
      <c r="B412" s="177"/>
      <c r="C412" s="177"/>
      <c r="D412" s="446" t="s">
        <v>177</v>
      </c>
      <c r="E412" s="177"/>
      <c r="F412" s="177"/>
      <c r="G412" s="178"/>
      <c r="H412" s="533" t="s">
        <v>66</v>
      </c>
      <c r="I412" s="269">
        <v>0</v>
      </c>
      <c r="J412" s="214">
        <v>0</v>
      </c>
      <c r="K412" s="497">
        <f>IF(I412&gt;0,J412*100/I412,0)</f>
        <v>0</v>
      </c>
      <c r="L412" s="162"/>
      <c r="M412" s="162"/>
      <c r="N412" s="162"/>
      <c r="O412" s="162"/>
      <c r="P412" s="162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>IF(I413&gt;0,J413*100/I413,0)</f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L419+L444+L467+L502+L523+L544+L629+L655+L685+L737+L754+L770+L786+L805</f>
        <v>179240</v>
      </c>
      <c r="M414" s="549">
        <f ca="1">M419+M444+M467+M502+M523+M544+M629+M655+M685+M737+M754+M770+M786+M805</f>
        <v>193830</v>
      </c>
      <c r="N414" s="549">
        <f>N419+N444+N467+N502+N523+N544+N629+N655+N685+N737+N754+N770+N786+N805</f>
        <v>193830</v>
      </c>
      <c r="O414" s="549">
        <f ca="1">IF(L414&gt;0,N414*100/L414,0)</f>
        <v>108.13992412407944</v>
      </c>
      <c r="P414" s="549">
        <f ca="1">IF(M414&gt;0,N414*100/M414,0)</f>
        <v>100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ca="1">I433</f>
        <v>10</v>
      </c>
      <c r="J417" s="565">
        <f ca="1">J433</f>
        <v>10</v>
      </c>
      <c r="K417" s="566">
        <f ca="1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ca="1">I434</f>
        <v>1</v>
      </c>
      <c r="J418" s="565">
        <f>J434</f>
        <v>1</v>
      </c>
      <c r="K418" s="566">
        <f ca="1">IF(I418&gt;0,J418*100/I418,0)</f>
        <v>100</v>
      </c>
      <c r="L418" s="567"/>
      <c r="M418" s="567"/>
      <c r="N418" s="567"/>
      <c r="O418" s="567"/>
      <c r="P418" s="567"/>
    </row>
    <row r="419" spans="1:26" ht="19.5">
      <c r="A419" s="146"/>
      <c r="B419" s="147"/>
      <c r="C419" s="147" t="s">
        <v>16</v>
      </c>
      <c r="D419" s="910" t="s">
        <v>17</v>
      </c>
      <c r="E419" s="889"/>
      <c r="F419" s="889"/>
      <c r="G419" s="150"/>
      <c r="H419" s="274" t="s">
        <v>12</v>
      </c>
      <c r="I419" s="419"/>
      <c r="J419" s="419"/>
      <c r="K419" s="153"/>
      <c r="L419" s="154">
        <f ca="1">L420+L421</f>
        <v>54560</v>
      </c>
      <c r="M419" s="154">
        <f ca="1">M420+M421</f>
        <v>69150</v>
      </c>
      <c r="N419" s="154">
        <f>N420+N421</f>
        <v>69150</v>
      </c>
      <c r="O419" s="154">
        <f t="shared" ref="O419:O424" ca="1" si="71">IF(L419&gt;0,N419*100/L419,0)</f>
        <v>126.74120234604105</v>
      </c>
      <c r="P419" s="154">
        <f t="shared" ref="P419:P424" ca="1" si="72">IF(M419&gt;0,N419*100/M419,0)</f>
        <v>100</v>
      </c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8.75" hidden="1">
      <c r="A420" s="155"/>
      <c r="B420" s="39"/>
      <c r="C420" s="39"/>
      <c r="D420" s="372"/>
      <c r="E420" s="222" t="s">
        <v>184</v>
      </c>
      <c r="F420" s="39"/>
      <c r="G420" s="156"/>
      <c r="H420" s="164" t="s">
        <v>12</v>
      </c>
      <c r="I420" s="612"/>
      <c r="J420" s="612"/>
      <c r="K420" s="92"/>
      <c r="L420" s="92">
        <f t="shared" ref="L420:N421" si="73">L423+L430</f>
        <v>0</v>
      </c>
      <c r="M420" s="92">
        <f t="shared" si="73"/>
        <v>0</v>
      </c>
      <c r="N420" s="92">
        <f t="shared" si="73"/>
        <v>0</v>
      </c>
      <c r="O420" s="92">
        <f t="shared" si="71"/>
        <v>0</v>
      </c>
      <c r="P420" s="92">
        <f t="shared" si="72"/>
        <v>0</v>
      </c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8.75" hidden="1">
      <c r="A421" s="155"/>
      <c r="B421" s="39"/>
      <c r="C421" s="39"/>
      <c r="D421" s="372"/>
      <c r="E421" s="222" t="s">
        <v>185</v>
      </c>
      <c r="F421" s="39"/>
      <c r="G421" s="156"/>
      <c r="H421" s="164" t="s">
        <v>12</v>
      </c>
      <c r="I421" s="612"/>
      <c r="J421" s="612"/>
      <c r="K421" s="92"/>
      <c r="L421" s="92">
        <f t="shared" ca="1" si="73"/>
        <v>54560</v>
      </c>
      <c r="M421" s="92">
        <f t="shared" ca="1" si="73"/>
        <v>69150</v>
      </c>
      <c r="N421" s="92">
        <f t="shared" si="73"/>
        <v>69150</v>
      </c>
      <c r="O421" s="92">
        <f t="shared" ca="1" si="71"/>
        <v>126.74120234604105</v>
      </c>
      <c r="P421" s="92">
        <f t="shared" ca="1" si="72"/>
        <v>100</v>
      </c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8.75">
      <c r="A422" s="158"/>
      <c r="B422" s="280"/>
      <c r="C422" s="32"/>
      <c r="D422" s="33" t="s">
        <v>20</v>
      </c>
      <c r="E422" s="32"/>
      <c r="F422" s="32"/>
      <c r="G422" s="34"/>
      <c r="H422" s="160" t="s">
        <v>12</v>
      </c>
      <c r="I422" s="183"/>
      <c r="J422" s="183"/>
      <c r="K422" s="162"/>
      <c r="L422" s="497">
        <f ca="1">L423+L424</f>
        <v>54560</v>
      </c>
      <c r="M422" s="497">
        <f ca="1">M423+M424</f>
        <v>69150</v>
      </c>
      <c r="N422" s="497">
        <f>N423+N424</f>
        <v>69150</v>
      </c>
      <c r="O422" s="497">
        <f t="shared" ca="1" si="71"/>
        <v>126.74120234604105</v>
      </c>
      <c r="P422" s="497">
        <f t="shared" ca="1" si="72"/>
        <v>100</v>
      </c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8.75" hidden="1">
      <c r="A423" s="155"/>
      <c r="B423" s="39"/>
      <c r="C423" s="39"/>
      <c r="D423" s="372"/>
      <c r="E423" s="222" t="s">
        <v>184</v>
      </c>
      <c r="F423" s="39"/>
      <c r="G423" s="156"/>
      <c r="H423" s="164" t="s">
        <v>12</v>
      </c>
      <c r="I423" s="612"/>
      <c r="J423" s="612"/>
      <c r="K423" s="92"/>
      <c r="L423" s="92">
        <v>0</v>
      </c>
      <c r="M423" s="92">
        <v>0</v>
      </c>
      <c r="N423" s="92">
        <v>0</v>
      </c>
      <c r="O423" s="92">
        <f t="shared" si="71"/>
        <v>0</v>
      </c>
      <c r="P423" s="92">
        <f t="shared" si="72"/>
        <v>0</v>
      </c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8.75" hidden="1">
      <c r="A424" s="155"/>
      <c r="B424" s="39"/>
      <c r="C424" s="39"/>
      <c r="D424" s="372"/>
      <c r="E424" s="222" t="s">
        <v>185</v>
      </c>
      <c r="F424" s="39"/>
      <c r="G424" s="156"/>
      <c r="H424" s="164" t="s">
        <v>12</v>
      </c>
      <c r="I424" s="612"/>
      <c r="J424" s="612"/>
      <c r="K424" s="92"/>
      <c r="L424" s="92">
        <f ca="1">IFERROR(__xludf.DUMMYFUNCTION("IMPORTRANGE(""https://docs.google.com/spreadsheets/d/1QqKyyYR6Q21VydFLVH3TRQUabQu_ym0Zz7PgGX0-kHA/edit?usp=sharing"",""แผน!EY60"")"),54560)</f>
        <v>54560</v>
      </c>
      <c r="M424" s="92">
        <f ca="1">L424-310+5000+9900</f>
        <v>69150</v>
      </c>
      <c r="N424" s="92">
        <f>N425+N426+N427+N428</f>
        <v>69150</v>
      </c>
      <c r="O424" s="92">
        <f t="shared" ca="1" si="71"/>
        <v>126.74120234604105</v>
      </c>
      <c r="P424" s="92">
        <f t="shared" ca="1" si="72"/>
        <v>100</v>
      </c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8.75">
      <c r="A425" s="569"/>
      <c r="B425" s="570"/>
      <c r="C425" s="758"/>
      <c r="D425" s="758"/>
      <c r="E425" s="758"/>
      <c r="F425" s="758" t="s">
        <v>186</v>
      </c>
      <c r="G425" s="188"/>
      <c r="H425" s="160" t="s">
        <v>12</v>
      </c>
      <c r="I425" s="269"/>
      <c r="J425" s="269"/>
      <c r="K425" s="497"/>
      <c r="L425" s="497"/>
      <c r="M425" s="497"/>
      <c r="N425" s="283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187</v>
      </c>
      <c r="G426" s="188"/>
      <c r="H426" s="160" t="s">
        <v>12</v>
      </c>
      <c r="I426" s="269"/>
      <c r="J426" s="269"/>
      <c r="K426" s="497"/>
      <c r="L426" s="497"/>
      <c r="M426" s="497"/>
      <c r="N426" s="283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188</v>
      </c>
      <c r="G427" s="188"/>
      <c r="H427" s="160" t="s">
        <v>12</v>
      </c>
      <c r="I427" s="269"/>
      <c r="J427" s="269"/>
      <c r="K427" s="497"/>
      <c r="L427" s="497"/>
      <c r="M427" s="497"/>
      <c r="N427" s="283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4"/>
      <c r="B428" s="280"/>
      <c r="C428" s="32"/>
      <c r="D428" s="32"/>
      <c r="E428" s="32"/>
      <c r="F428" s="281" t="s">
        <v>189</v>
      </c>
      <c r="G428" s="213"/>
      <c r="H428" s="160" t="s">
        <v>12</v>
      </c>
      <c r="I428" s="269"/>
      <c r="J428" s="269"/>
      <c r="K428" s="497"/>
      <c r="L428" s="497"/>
      <c r="M428" s="497"/>
      <c r="N428" s="283">
        <f>40160+4690</f>
        <v>44850</v>
      </c>
      <c r="O428" s="497"/>
      <c r="P428" s="497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8.75">
      <c r="A429" s="158"/>
      <c r="B429" s="280"/>
      <c r="C429" s="32"/>
      <c r="D429" s="33" t="s">
        <v>21</v>
      </c>
      <c r="E429" s="32"/>
      <c r="F429" s="32"/>
      <c r="G429" s="34"/>
      <c r="H429" s="167" t="s">
        <v>12</v>
      </c>
      <c r="I429" s="183"/>
      <c r="J429" s="183"/>
      <c r="K429" s="162"/>
      <c r="L429" s="497">
        <f ca="1">L430+L431</f>
        <v>0</v>
      </c>
      <c r="M429" s="497">
        <f>M430+M431</f>
        <v>0</v>
      </c>
      <c r="N429" s="497">
        <f>N430+N431</f>
        <v>0</v>
      </c>
      <c r="O429" s="497">
        <f ca="1">IF(L429&gt;0,N429*100/L429,0)</f>
        <v>0</v>
      </c>
      <c r="P429" s="497">
        <f>IF(M429&gt;0,N429*100/M429,0)</f>
        <v>0</v>
      </c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8.75" hidden="1">
      <c r="A430" s="155"/>
      <c r="B430" s="356"/>
      <c r="C430" s="39"/>
      <c r="D430" s="39"/>
      <c r="E430" s="222" t="s">
        <v>18</v>
      </c>
      <c r="F430" s="39"/>
      <c r="G430" s="41"/>
      <c r="H430" s="164" t="s">
        <v>12</v>
      </c>
      <c r="I430" s="165"/>
      <c r="J430" s="165"/>
      <c r="K430" s="166"/>
      <c r="L430" s="92">
        <v>0</v>
      </c>
      <c r="M430" s="92">
        <v>0</v>
      </c>
      <c r="N430" s="92">
        <v>0</v>
      </c>
      <c r="O430" s="92">
        <f>IF(L430&gt;0,N430*100/L430,0)</f>
        <v>0</v>
      </c>
      <c r="P430" s="92">
        <f>IF(M430&gt;0,N430*100/M430,0)</f>
        <v>0</v>
      </c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8.75" hidden="1">
      <c r="A431" s="155"/>
      <c r="B431" s="356"/>
      <c r="C431" s="39"/>
      <c r="D431" s="39"/>
      <c r="E431" s="222" t="s">
        <v>19</v>
      </c>
      <c r="F431" s="39"/>
      <c r="G431" s="41"/>
      <c r="H431" s="168" t="s">
        <v>12</v>
      </c>
      <c r="I431" s="165"/>
      <c r="J431" s="165"/>
      <c r="K431" s="166"/>
      <c r="L431" s="92">
        <f ca="1">IFERROR(__xludf.DUMMYFUNCTION("IMPORTRANGE(""https://docs.google.com/spreadsheets/d/1QqKyyYR6Q21VydFLVH3TRQUabQu_ym0Zz7PgGX0-kHA/edit?usp=sharing"",""แผน!FB60"")"),0)</f>
        <v>0</v>
      </c>
      <c r="M431" s="92">
        <v>0</v>
      </c>
      <c r="N431" s="92">
        <v>0</v>
      </c>
      <c r="O431" s="92">
        <f ca="1">IF(L431&gt;0,N431*100/L431,0)</f>
        <v>0</v>
      </c>
      <c r="P431" s="92">
        <f>IF(M431&gt;0,N431*100/M431,0)</f>
        <v>0</v>
      </c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9.5">
      <c r="A432" s="413"/>
      <c r="B432" s="414"/>
      <c r="C432" s="147" t="s">
        <v>16</v>
      </c>
      <c r="D432" s="853" t="s">
        <v>38</v>
      </c>
      <c r="E432" s="575"/>
      <c r="F432" s="575"/>
      <c r="G432" s="576"/>
      <c r="H432" s="577"/>
      <c r="I432" s="419"/>
      <c r="J432" s="419"/>
      <c r="K432" s="153"/>
      <c r="L432" s="153"/>
      <c r="M432" s="153"/>
      <c r="N432" s="153"/>
      <c r="O432" s="153"/>
      <c r="P432" s="153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9.5">
      <c r="A433" s="169"/>
      <c r="B433" s="170"/>
      <c r="C433" s="170"/>
      <c r="D433" s="190" t="s">
        <v>190</v>
      </c>
      <c r="E433" s="177"/>
      <c r="F433" s="177"/>
      <c r="G433" s="178"/>
      <c r="H433" s="195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4">
        <f ca="1">IF(I433&gt;0,J433*100/I433,0)</f>
        <v>100</v>
      </c>
      <c r="L433" s="497"/>
      <c r="M433" s="497"/>
      <c r="N433" s="497"/>
      <c r="O433" s="497"/>
      <c r="P433" s="497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9.5">
      <c r="A434" s="169"/>
      <c r="B434" s="170"/>
      <c r="C434" s="170"/>
      <c r="D434" s="190" t="s">
        <v>191</v>
      </c>
      <c r="E434" s="177"/>
      <c r="F434" s="177"/>
      <c r="G434" s="178"/>
      <c r="H434" s="195" t="s">
        <v>49</v>
      </c>
      <c r="I434" s="676">
        <f ca="1">I438+I440</f>
        <v>1</v>
      </c>
      <c r="J434" s="676">
        <f>J438+J440</f>
        <v>1</v>
      </c>
      <c r="K434" s="194">
        <f ca="1">IF(I434&gt;0,J434*100/I434,0)</f>
        <v>100</v>
      </c>
      <c r="L434" s="497"/>
      <c r="M434" s="497"/>
      <c r="N434" s="497"/>
      <c r="O434" s="497"/>
      <c r="P434" s="497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8.75">
      <c r="A435" s="169"/>
      <c r="B435" s="170"/>
      <c r="C435" s="170"/>
      <c r="D435" s="446" t="s">
        <v>192</v>
      </c>
      <c r="E435" s="177"/>
      <c r="F435" s="177"/>
      <c r="G435" s="178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ca="1">IF(I435&gt;0,J435*100/I435,0)</f>
        <v>100</v>
      </c>
      <c r="L435" s="497"/>
      <c r="M435" s="497"/>
      <c r="N435" s="497"/>
      <c r="O435" s="497"/>
      <c r="P435" s="497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8.75">
      <c r="A436" s="169"/>
      <c r="B436" s="170"/>
      <c r="C436" s="170"/>
      <c r="D436" s="446" t="s">
        <v>193</v>
      </c>
      <c r="E436" s="177"/>
      <c r="F436" s="177"/>
      <c r="G436" s="178"/>
      <c r="H436" s="618"/>
      <c r="I436" s="269"/>
      <c r="J436" s="269"/>
      <c r="K436" s="497"/>
      <c r="L436" s="497"/>
      <c r="M436" s="497"/>
      <c r="N436" s="497"/>
      <c r="O436" s="497"/>
      <c r="P436" s="497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8.75">
      <c r="A437" s="169"/>
      <c r="B437" s="170"/>
      <c r="C437" s="170"/>
      <c r="D437" s="446" t="s">
        <v>194</v>
      </c>
      <c r="E437" s="177"/>
      <c r="F437" s="177"/>
      <c r="G437" s="178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74">IF(I437&gt;0,J437*100/I437,0)</f>
        <v>0</v>
      </c>
      <c r="L437" s="497"/>
      <c r="M437" s="497"/>
      <c r="N437" s="497"/>
      <c r="O437" s="497"/>
      <c r="P437" s="497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8.75">
      <c r="A438" s="169"/>
      <c r="B438" s="170"/>
      <c r="C438" s="170"/>
      <c r="D438" s="446" t="s">
        <v>195</v>
      </c>
      <c r="E438" s="177"/>
      <c r="F438" s="177"/>
      <c r="G438" s="178"/>
      <c r="H438" s="618" t="s">
        <v>49</v>
      </c>
      <c r="I438" s="269">
        <f ca="1">IFERROR(__xludf.DUMMYFUNCTION("IMPORTRANGE(""https://docs.google.com/spreadsheets/d/1QqKyyYR6Q21VydFLVH3TRQUabQu_ym0Zz7PgGX0-kHA/edit?usp=sharing"",""แผน!FE60"")"),0)</f>
        <v>0</v>
      </c>
      <c r="J438" s="214">
        <v>0</v>
      </c>
      <c r="K438" s="497">
        <f t="shared" ca="1" si="74"/>
        <v>0</v>
      </c>
      <c r="L438" s="497"/>
      <c r="M438" s="497"/>
      <c r="N438" s="497"/>
      <c r="O438" s="497"/>
      <c r="P438" s="497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8.75">
      <c r="A439" s="169"/>
      <c r="B439" s="170"/>
      <c r="C439" s="170"/>
      <c r="D439" s="446" t="s">
        <v>196</v>
      </c>
      <c r="E439" s="177"/>
      <c r="F439" s="177"/>
      <c r="G439" s="178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74"/>
        <v>100</v>
      </c>
      <c r="L439" s="497"/>
      <c r="M439" s="497"/>
      <c r="N439" s="497"/>
      <c r="O439" s="497"/>
      <c r="P439" s="497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8.75">
      <c r="A440" s="169"/>
      <c r="B440" s="170"/>
      <c r="C440" s="170"/>
      <c r="D440" s="446" t="s">
        <v>197</v>
      </c>
      <c r="E440" s="177"/>
      <c r="F440" s="177"/>
      <c r="G440" s="178"/>
      <c r="H440" s="618" t="s">
        <v>49</v>
      </c>
      <c r="I440" s="269">
        <f ca="1">IFERROR(__xludf.DUMMYFUNCTION("IMPORTRANGE(""https://docs.google.com/spreadsheets/d/1QqKyyYR6Q21VydFLVH3TRQUabQu_ym0Zz7PgGX0-kHA/edit?usp=sharing"",""แผน!FG60"")"),1)</f>
        <v>1</v>
      </c>
      <c r="J440" s="214">
        <v>1</v>
      </c>
      <c r="K440" s="497">
        <f t="shared" ca="1" si="74"/>
        <v>100</v>
      </c>
      <c r="L440" s="497"/>
      <c r="M440" s="497"/>
      <c r="N440" s="497"/>
      <c r="O440" s="497"/>
      <c r="P440" s="497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8.75">
      <c r="A441" s="169"/>
      <c r="B441" s="170"/>
      <c r="C441" s="170"/>
      <c r="D441" s="446" t="s">
        <v>198</v>
      </c>
      <c r="E441" s="177"/>
      <c r="F441" s="177"/>
      <c r="G441" s="178"/>
      <c r="H441" s="618" t="s">
        <v>35</v>
      </c>
      <c r="I441" s="269">
        <f ca="1">IFERROR(__xludf.DUMMYFUNCTION("IMPORTRANGE(""https://docs.google.com/spreadsheets/d/1QqKyyYR6Q21VydFLVH3TRQUabQu_ym0Zz7PgGX0-kHA/edit?usp=sharing"",""แผน!FH60"")"),0)</f>
        <v>0</v>
      </c>
      <c r="J441" s="269">
        <v>0</v>
      </c>
      <c r="K441" s="497">
        <f t="shared" ca="1" si="74"/>
        <v>0</v>
      </c>
      <c r="L441" s="497"/>
      <c r="M441" s="497"/>
      <c r="N441" s="497"/>
      <c r="O441" s="497"/>
      <c r="P441" s="497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ca="1">I460</f>
        <v>0</v>
      </c>
      <c r="J442" s="585">
        <f>J460</f>
        <v>0</v>
      </c>
      <c r="K442" s="586">
        <f t="shared" ca="1" si="7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ca="1">I462</f>
        <v>0</v>
      </c>
      <c r="J443" s="565">
        <f>J462</f>
        <v>0</v>
      </c>
      <c r="K443" s="566">
        <f t="shared" ca="1" si="7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86" t="s">
        <v>17</v>
      </c>
      <c r="E444" s="887"/>
      <c r="F444" s="887"/>
      <c r="G444" s="188"/>
      <c r="H444" s="593" t="s">
        <v>12</v>
      </c>
      <c r="I444" s="269"/>
      <c r="J444" s="269"/>
      <c r="K444" s="497"/>
      <c r="L444" s="194">
        <f ca="1">L445+L446</f>
        <v>0</v>
      </c>
      <c r="M444" s="194">
        <f>M445+M446</f>
        <v>0</v>
      </c>
      <c r="N444" s="194">
        <f>N445+N446</f>
        <v>0</v>
      </c>
      <c r="O444" s="194">
        <f t="shared" ref="O444:O449" ca="1" si="75">IF(L444&gt;0,N444*100/L444,0)</f>
        <v>0</v>
      </c>
      <c r="P444" s="194">
        <f t="shared" ref="P444:P449" si="76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184</v>
      </c>
      <c r="F445" s="754"/>
      <c r="G445" s="598"/>
      <c r="H445" s="164" t="s">
        <v>12</v>
      </c>
      <c r="I445" s="612"/>
      <c r="J445" s="612"/>
      <c r="K445" s="92"/>
      <c r="L445" s="92">
        <f t="shared" ref="L445:N446" si="77">L448+L455</f>
        <v>0</v>
      </c>
      <c r="M445" s="92">
        <f t="shared" si="77"/>
        <v>0</v>
      </c>
      <c r="N445" s="92">
        <f t="shared" si="77"/>
        <v>0</v>
      </c>
      <c r="O445" s="92">
        <f t="shared" si="75"/>
        <v>0</v>
      </c>
      <c r="P445" s="92">
        <f t="shared" si="76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185</v>
      </c>
      <c r="F446" s="754"/>
      <c r="G446" s="598"/>
      <c r="H446" s="164" t="s">
        <v>12</v>
      </c>
      <c r="I446" s="612"/>
      <c r="J446" s="612"/>
      <c r="K446" s="92"/>
      <c r="L446" s="92">
        <f t="shared" ca="1" si="77"/>
        <v>0</v>
      </c>
      <c r="M446" s="92">
        <f t="shared" si="77"/>
        <v>0</v>
      </c>
      <c r="N446" s="92">
        <f t="shared" si="77"/>
        <v>0</v>
      </c>
      <c r="O446" s="92">
        <f t="shared" ca="1" si="75"/>
        <v>0</v>
      </c>
      <c r="P446" s="92">
        <f t="shared" si="76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8"/>
      <c r="H447" s="160" t="s">
        <v>12</v>
      </c>
      <c r="I447" s="183"/>
      <c r="J447" s="183"/>
      <c r="K447" s="162"/>
      <c r="L447" s="497">
        <f ca="1">L448+L449</f>
        <v>0</v>
      </c>
      <c r="M447" s="497">
        <f>M448+M449</f>
        <v>0</v>
      </c>
      <c r="N447" s="497">
        <f>N448+N449</f>
        <v>0</v>
      </c>
      <c r="O447" s="497">
        <f t="shared" ca="1" si="75"/>
        <v>0</v>
      </c>
      <c r="P447" s="497">
        <f t="shared" si="76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184</v>
      </c>
      <c r="F448" s="754"/>
      <c r="G448" s="598"/>
      <c r="H448" s="164" t="s">
        <v>12</v>
      </c>
      <c r="I448" s="612"/>
      <c r="J448" s="612"/>
      <c r="K448" s="92"/>
      <c r="L448" s="92">
        <v>0</v>
      </c>
      <c r="M448" s="92">
        <v>0</v>
      </c>
      <c r="N448" s="92">
        <v>0</v>
      </c>
      <c r="O448" s="92">
        <f t="shared" si="75"/>
        <v>0</v>
      </c>
      <c r="P448" s="92">
        <f t="shared" si="76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185</v>
      </c>
      <c r="F449" s="754"/>
      <c r="G449" s="598"/>
      <c r="H449" s="164" t="s">
        <v>12</v>
      </c>
      <c r="I449" s="612"/>
      <c r="J449" s="612"/>
      <c r="K449" s="92"/>
      <c r="L449" s="92">
        <f ca="1">IFERROR(__xludf.DUMMYFUNCTION("IMPORTRANGE(""https://docs.google.com/spreadsheets/d/1QqKyyYR6Q21VydFLVH3TRQUabQu_ym0Zz7PgGX0-kHA/edit?usp=sharing"",""แผน!FJ60"")"),0)</f>
        <v>0</v>
      </c>
      <c r="M449" s="92">
        <v>0</v>
      </c>
      <c r="N449" s="92">
        <f>N450+N451+N452+N453</f>
        <v>0</v>
      </c>
      <c r="O449" s="92">
        <f t="shared" ca="1" si="75"/>
        <v>0</v>
      </c>
      <c r="P449" s="92">
        <f t="shared" si="76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186</v>
      </c>
      <c r="G450" s="188"/>
      <c r="H450" s="160" t="s">
        <v>12</v>
      </c>
      <c r="I450" s="269"/>
      <c r="J450" s="269"/>
      <c r="K450" s="497"/>
      <c r="L450" s="497"/>
      <c r="M450" s="497"/>
      <c r="N450" s="283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187</v>
      </c>
      <c r="G451" s="188"/>
      <c r="H451" s="160" t="s">
        <v>12</v>
      </c>
      <c r="I451" s="269"/>
      <c r="J451" s="269"/>
      <c r="K451" s="497"/>
      <c r="L451" s="497"/>
      <c r="M451" s="497"/>
      <c r="N451" s="283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188</v>
      </c>
      <c r="G452" s="188"/>
      <c r="H452" s="160" t="s">
        <v>12</v>
      </c>
      <c r="I452" s="269"/>
      <c r="J452" s="269"/>
      <c r="K452" s="497"/>
      <c r="L452" s="497"/>
      <c r="M452" s="497"/>
      <c r="N452" s="283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189</v>
      </c>
      <c r="G453" s="188"/>
      <c r="H453" s="160" t="s">
        <v>12</v>
      </c>
      <c r="I453" s="269"/>
      <c r="J453" s="269"/>
      <c r="K453" s="497"/>
      <c r="L453" s="497"/>
      <c r="M453" s="497"/>
      <c r="N453" s="283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8"/>
      <c r="H454" s="167" t="s">
        <v>12</v>
      </c>
      <c r="I454" s="183"/>
      <c r="J454" s="183"/>
      <c r="K454" s="162"/>
      <c r="L454" s="497">
        <f ca="1">L455+L456</f>
        <v>0</v>
      </c>
      <c r="M454" s="497">
        <f>M455+M456</f>
        <v>0</v>
      </c>
      <c r="N454" s="497">
        <f>N455+N456</f>
        <v>0</v>
      </c>
      <c r="O454" s="497">
        <f ca="1">IF(L454&gt;0,N454*100/L454,0)</f>
        <v>0</v>
      </c>
      <c r="P454" s="497">
        <f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4" t="s">
        <v>12</v>
      </c>
      <c r="I455" s="165"/>
      <c r="J455" s="165"/>
      <c r="K455" s="166"/>
      <c r="L455" s="92">
        <v>0</v>
      </c>
      <c r="M455" s="92">
        <v>0</v>
      </c>
      <c r="N455" s="92">
        <v>0</v>
      </c>
      <c r="O455" s="92">
        <f>IF(L455&gt;0,N455*100/L455,0)</f>
        <v>0</v>
      </c>
      <c r="P455" s="92">
        <f>IF(M455&gt;0,N455*100/M455,0)</f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8" t="s">
        <v>12</v>
      </c>
      <c r="I456" s="165"/>
      <c r="J456" s="165"/>
      <c r="K456" s="166"/>
      <c r="L456" s="92">
        <f ca="1">IFERROR(__xludf.DUMMYFUNCTION("IMPORTRANGE(""https://docs.google.com/spreadsheets/d/1QqKyyYR6Q21VydFLVH3TRQUabQu_ym0Zz7PgGX0-kHA/edit?usp=sharing"",""แผน!FM60"")"),0)</f>
        <v>0</v>
      </c>
      <c r="M456" s="92">
        <v>0</v>
      </c>
      <c r="N456" s="92">
        <v>0</v>
      </c>
      <c r="O456" s="92">
        <f ca="1">IF(L456&gt;0,N456*100/L456,0)</f>
        <v>0</v>
      </c>
      <c r="P456" s="92">
        <f>IF(M456&gt;0,N456*100/M456,0)</f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49" t="s">
        <v>38</v>
      </c>
      <c r="E457" s="606"/>
      <c r="F457" s="756"/>
      <c r="G457" s="608"/>
      <c r="H457" s="757"/>
      <c r="I457" s="269"/>
      <c r="J457" s="269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5"/>
      <c r="G458" s="365"/>
      <c r="H458" s="369" t="s">
        <v>35</v>
      </c>
      <c r="I458" s="612">
        <v>0</v>
      </c>
      <c r="J458" s="612">
        <v>0</v>
      </c>
      <c r="K458" s="92">
        <f>IF(I458&gt;0,J458*100/I458,0)</f>
        <v>0</v>
      </c>
      <c r="L458" s="92"/>
      <c r="M458" s="92"/>
      <c r="N458" s="92"/>
      <c r="O458" s="92"/>
      <c r="P458" s="92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5"/>
      <c r="G459" s="365"/>
      <c r="H459" s="369"/>
      <c r="I459" s="612"/>
      <c r="J459" s="612"/>
      <c r="K459" s="92"/>
      <c r="L459" s="92"/>
      <c r="M459" s="92"/>
      <c r="N459" s="92"/>
      <c r="O459" s="92"/>
      <c r="P459" s="92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7"/>
      <c r="H460" s="759" t="s">
        <v>35</v>
      </c>
      <c r="I460" s="269">
        <f ca="1">IFERROR(__xludf.DUMMYFUNCTION("IMPORTRANGE(""https://docs.google.com/spreadsheets/d/1QqKyyYR6Q21VydFLVH3TRQUabQu_ym0Zz7PgGX0-kHA/edit?usp=sharing"",""แผน!FN60"")"),0)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7"/>
      <c r="H461" s="759"/>
      <c r="I461" s="269"/>
      <c r="J461" s="269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7"/>
      <c r="H462" s="759" t="s">
        <v>46</v>
      </c>
      <c r="I462" s="269">
        <f ca="1">IFERROR(__xludf.DUMMYFUNCTION("IMPORTRANGE(""https://docs.google.com/spreadsheets/d/1QqKyyYR6Q21VydFLVH3TRQUabQu_ym0Zz7PgGX0-kHA/edit?usp=sharing"",""แผน!FO60"")"),0)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8"/>
      <c r="H463" s="759" t="s">
        <v>46</v>
      </c>
      <c r="I463" s="269">
        <f ca="1">IFERROR(__xludf.DUMMYFUNCTION("IMPORTRANGE(""https://docs.google.com/spreadsheets/d/1QqKyyYR6Q21VydFLVH3TRQUabQu_ym0Zz7PgGX0-kHA/edit?usp=sharing"",""แผน!FO60"")"),0)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69">
        <f ca="1">IFERROR(__xludf.DUMMYFUNCTION("IMPORTRANGE(""https://docs.google.com/spreadsheets/d/1QqKyyYR6Q21VydFLVH3TRQUabQu_ym0Zz7PgGX0-kHA/edit?usp=sharing"",""แผน!FN60"")"),0)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ca="1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ca="1">IF(I466&gt;0,J466*100/I466,0)</f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86" t="s">
        <v>17</v>
      </c>
      <c r="E467" s="887"/>
      <c r="F467" s="887"/>
      <c r="G467" s="188"/>
      <c r="H467" s="593" t="s">
        <v>12</v>
      </c>
      <c r="I467" s="269"/>
      <c r="J467" s="269"/>
      <c r="K467" s="497"/>
      <c r="L467" s="194">
        <f ca="1">L468+L469</f>
        <v>0</v>
      </c>
      <c r="M467" s="194">
        <f>M468+M469</f>
        <v>0</v>
      </c>
      <c r="N467" s="194">
        <f>N468+N469</f>
        <v>0</v>
      </c>
      <c r="O467" s="194">
        <f t="shared" ref="O467:O472" ca="1" si="78">IF(L467&gt;0,N467*100/L467,0)</f>
        <v>0</v>
      </c>
      <c r="P467" s="194">
        <f t="shared" ref="P467:P472" si="7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184</v>
      </c>
      <c r="F468" s="754"/>
      <c r="G468" s="598"/>
      <c r="H468" s="164" t="s">
        <v>12</v>
      </c>
      <c r="I468" s="612"/>
      <c r="J468" s="612"/>
      <c r="K468" s="92"/>
      <c r="L468" s="92">
        <f t="shared" ref="L468:N469" si="80">L471+L478</f>
        <v>0</v>
      </c>
      <c r="M468" s="92">
        <f t="shared" si="80"/>
        <v>0</v>
      </c>
      <c r="N468" s="92">
        <f t="shared" si="80"/>
        <v>0</v>
      </c>
      <c r="O468" s="92">
        <f t="shared" si="78"/>
        <v>0</v>
      </c>
      <c r="P468" s="92">
        <f t="shared" si="7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185</v>
      </c>
      <c r="F469" s="754"/>
      <c r="G469" s="598"/>
      <c r="H469" s="164" t="s">
        <v>12</v>
      </c>
      <c r="I469" s="612"/>
      <c r="J469" s="612"/>
      <c r="K469" s="92"/>
      <c r="L469" s="92">
        <f t="shared" ca="1" si="80"/>
        <v>0</v>
      </c>
      <c r="M469" s="92">
        <f t="shared" si="80"/>
        <v>0</v>
      </c>
      <c r="N469" s="92">
        <f t="shared" si="80"/>
        <v>0</v>
      </c>
      <c r="O469" s="92">
        <f t="shared" ca="1" si="78"/>
        <v>0</v>
      </c>
      <c r="P469" s="92">
        <f t="shared" si="7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8"/>
      <c r="H470" s="160" t="s">
        <v>12</v>
      </c>
      <c r="I470" s="183"/>
      <c r="J470" s="183"/>
      <c r="K470" s="162"/>
      <c r="L470" s="497">
        <f ca="1">L471+L472</f>
        <v>0</v>
      </c>
      <c r="M470" s="497">
        <f>M471+M472</f>
        <v>0</v>
      </c>
      <c r="N470" s="497">
        <f>N471+N472</f>
        <v>0</v>
      </c>
      <c r="O470" s="497">
        <f t="shared" ca="1" si="78"/>
        <v>0</v>
      </c>
      <c r="P470" s="497">
        <f t="shared" si="7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184</v>
      </c>
      <c r="F471" s="754"/>
      <c r="G471" s="598"/>
      <c r="H471" s="164" t="s">
        <v>12</v>
      </c>
      <c r="I471" s="612"/>
      <c r="J471" s="612"/>
      <c r="K471" s="92"/>
      <c r="L471" s="92">
        <v>0</v>
      </c>
      <c r="M471" s="92">
        <v>0</v>
      </c>
      <c r="N471" s="92">
        <v>0</v>
      </c>
      <c r="O471" s="92">
        <f t="shared" si="78"/>
        <v>0</v>
      </c>
      <c r="P471" s="92">
        <f t="shared" si="7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185</v>
      </c>
      <c r="F472" s="754"/>
      <c r="G472" s="598"/>
      <c r="H472" s="164" t="s">
        <v>12</v>
      </c>
      <c r="I472" s="612"/>
      <c r="J472" s="612"/>
      <c r="K472" s="92"/>
      <c r="L472" s="92">
        <f ca="1">IFERROR(__xludf.DUMMYFUNCTION("IMPORTRANGE(""https://docs.google.com/spreadsheets/d/1QqKyyYR6Q21VydFLVH3TRQUabQu_ym0Zz7PgGX0-kHA/edit?usp=sharing"",""แผน!FS60"")"),0)</f>
        <v>0</v>
      </c>
      <c r="M472" s="92">
        <v>0</v>
      </c>
      <c r="N472" s="92">
        <f>N473+N474+N475+N476</f>
        <v>0</v>
      </c>
      <c r="O472" s="92">
        <f t="shared" ca="1" si="78"/>
        <v>0</v>
      </c>
      <c r="P472" s="92">
        <f t="shared" si="7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186</v>
      </c>
      <c r="G473" s="188"/>
      <c r="H473" s="160" t="s">
        <v>12</v>
      </c>
      <c r="I473" s="269"/>
      <c r="J473" s="269"/>
      <c r="K473" s="497"/>
      <c r="L473" s="497"/>
      <c r="M473" s="497"/>
      <c r="N473" s="283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187</v>
      </c>
      <c r="G474" s="188"/>
      <c r="H474" s="160" t="s">
        <v>12</v>
      </c>
      <c r="I474" s="269"/>
      <c r="J474" s="269"/>
      <c r="K474" s="497"/>
      <c r="L474" s="497"/>
      <c r="M474" s="497"/>
      <c r="N474" s="283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188</v>
      </c>
      <c r="G475" s="188"/>
      <c r="H475" s="160" t="s">
        <v>12</v>
      </c>
      <c r="I475" s="269"/>
      <c r="J475" s="269"/>
      <c r="K475" s="497"/>
      <c r="L475" s="497"/>
      <c r="M475" s="497"/>
      <c r="N475" s="283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189</v>
      </c>
      <c r="G476" s="188"/>
      <c r="H476" s="160" t="s">
        <v>12</v>
      </c>
      <c r="I476" s="269"/>
      <c r="J476" s="269"/>
      <c r="K476" s="497"/>
      <c r="L476" s="497"/>
      <c r="M476" s="497"/>
      <c r="N476" s="283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8"/>
      <c r="H477" s="167" t="s">
        <v>12</v>
      </c>
      <c r="I477" s="183"/>
      <c r="J477" s="183"/>
      <c r="K477" s="162"/>
      <c r="L477" s="497">
        <f ca="1">L478+L479</f>
        <v>0</v>
      </c>
      <c r="M477" s="497">
        <f>M478+M479</f>
        <v>0</v>
      </c>
      <c r="N477" s="497">
        <f>N478+N479</f>
        <v>0</v>
      </c>
      <c r="O477" s="497">
        <f ca="1">IF(L477&gt;0,N477*100/L477,0)</f>
        <v>0</v>
      </c>
      <c r="P477" s="497">
        <f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4" t="s">
        <v>12</v>
      </c>
      <c r="I478" s="165"/>
      <c r="J478" s="165"/>
      <c r="K478" s="166"/>
      <c r="L478" s="92">
        <v>0</v>
      </c>
      <c r="M478" s="92">
        <v>0</v>
      </c>
      <c r="N478" s="92">
        <v>0</v>
      </c>
      <c r="O478" s="92">
        <f>IF(L478&gt;0,N478*100/L478,0)</f>
        <v>0</v>
      </c>
      <c r="P478" s="92">
        <f>IF(M478&gt;0,N478*100/M478,0)</f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8" t="s">
        <v>12</v>
      </c>
      <c r="I479" s="165"/>
      <c r="J479" s="165"/>
      <c r="K479" s="166"/>
      <c r="L479" s="92">
        <f ca="1">IFERROR(__xludf.DUMMYFUNCTION("IMPORTRANGE(""https://docs.google.com/spreadsheets/d/1QqKyyYR6Q21VydFLVH3TRQUabQu_ym0Zz7PgGX0-kHA/edit?usp=sharing"",""แผน!FV60"")"),0)</f>
        <v>0</v>
      </c>
      <c r="M479" s="92">
        <v>0</v>
      </c>
      <c r="N479" s="92">
        <v>0</v>
      </c>
      <c r="O479" s="92">
        <f ca="1">IF(L479&gt;0,N479*100/L479,0)</f>
        <v>0</v>
      </c>
      <c r="P479" s="92">
        <f>IF(M479&gt;0,N479*100/M479,0)</f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52" t="s">
        <v>38</v>
      </c>
      <c r="E480" s="606"/>
      <c r="F480" s="756"/>
      <c r="G480" s="608"/>
      <c r="H480" s="757"/>
      <c r="I480" s="269"/>
      <c r="J480" s="269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206</v>
      </c>
      <c r="E481" s="613"/>
      <c r="F481" s="613"/>
      <c r="G481" s="757"/>
      <c r="H481" s="188"/>
      <c r="I481" s="269"/>
      <c r="J481" s="269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207</v>
      </c>
      <c r="F482" s="613"/>
      <c r="G482" s="757"/>
      <c r="H482" s="188"/>
      <c r="I482" s="269"/>
      <c r="J482" s="269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208</v>
      </c>
      <c r="G483" s="757"/>
      <c r="H483" s="618" t="s">
        <v>46</v>
      </c>
      <c r="I483" s="269">
        <f ca="1">IFERROR(__xludf.DUMMYFUNCTION("IMPORTRANGE(""https://docs.google.com/spreadsheets/d/1QqKyyYR6Q21VydFLVH3TRQUabQu_ym0Zz7PgGX0-kHA/edit?usp=sharing"",""แผน!FY60"")"),0)</f>
        <v>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209</v>
      </c>
      <c r="G484" s="757"/>
      <c r="H484" s="618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210</v>
      </c>
      <c r="G485" s="757"/>
      <c r="H485" s="618" t="s">
        <v>35</v>
      </c>
      <c r="I485" s="269">
        <f ca="1">IFERROR(__xludf.DUMMYFUNCTION("IMPORTRANGE(""https://docs.google.com/spreadsheets/d/1QqKyyYR6Q21VydFLVH3TRQUabQu_ym0Zz7PgGX0-kHA/edit?usp=sharing"",""แผน!FZ60"")"),0)</f>
        <v>0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69"/>
      <c r="J486" s="269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208</v>
      </c>
      <c r="G487" s="757"/>
      <c r="H487" s="618" t="s">
        <v>46</v>
      </c>
      <c r="I487" s="269">
        <f ca="1">IFERROR(__xludf.DUMMYFUNCTION("IMPORTRANGE(""https://docs.google.com/spreadsheets/d/1QqKyyYR6Q21VydFLVH3TRQUabQu_ym0Zz7PgGX0-kHA/edit?usp=sharing"",""แผน!GA60"")"),0)</f>
        <v>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211</v>
      </c>
      <c r="G488" s="757"/>
      <c r="H488" s="618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212</v>
      </c>
      <c r="G489" s="757"/>
      <c r="H489" s="618" t="s">
        <v>35</v>
      </c>
      <c r="I489" s="269">
        <f ca="1">IFERROR(__xludf.DUMMYFUNCTION("IMPORTRANGE(""https://docs.google.com/spreadsheets/d/1QqKyyYR6Q21VydFLVH3TRQUabQu_ym0Zz7PgGX0-kHA/edit?usp=sharing"",""แผน!GB60"")"),0)</f>
        <v>0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69"/>
      <c r="J490" s="269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213</v>
      </c>
      <c r="G491" s="757"/>
      <c r="H491" s="618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214</v>
      </c>
      <c r="G492" s="757"/>
      <c r="H492" s="618" t="s">
        <v>35</v>
      </c>
      <c r="I492" s="269">
        <f ca="1">IFERROR(__xludf.DUMMYFUNCTION("IMPORTRANGE(""https://docs.google.com/spreadsheets/d/1QqKyyYR6Q21VydFLVH3TRQUabQu_ym0Zz7PgGX0-kHA/edit?usp=sharing"",""แผน!GC60"")"),0)</f>
        <v>0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8"/>
      <c r="I493" s="269"/>
      <c r="J493" s="269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207</v>
      </c>
      <c r="F494" s="621"/>
      <c r="G494" s="757"/>
      <c r="H494" s="188"/>
      <c r="I494" s="269"/>
      <c r="J494" s="269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215</v>
      </c>
      <c r="G495" s="757"/>
      <c r="H495" s="618" t="s">
        <v>46</v>
      </c>
      <c r="I495" s="269">
        <f ca="1">IFERROR(__xludf.DUMMYFUNCTION("IMPORTRANGE(""https://docs.google.com/spreadsheets/d/1QqKyyYR6Q21VydFLVH3TRQUabQu_ym0Zz7PgGX0-kHA/edit?usp=sharing"",""แผน!FY60"")"),0)</f>
        <v>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216</v>
      </c>
      <c r="G496" s="757"/>
      <c r="H496" s="618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8"/>
      <c r="I497" s="269"/>
      <c r="J497" s="269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217</v>
      </c>
      <c r="G498" s="757"/>
      <c r="H498" s="618" t="s">
        <v>46</v>
      </c>
      <c r="I498" s="269">
        <f ca="1">IFERROR(__xludf.DUMMYFUNCTION("IMPORTRANGE(""https://docs.google.com/spreadsheets/d/1QqKyyYR6Q21VydFLVH3TRQUabQu_ym0Zz7PgGX0-kHA/edit?usp=sharing"",""แผน!GA60"")"),0)</f>
        <v>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218</v>
      </c>
      <c r="G499" s="757"/>
      <c r="H499" s="618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>J516</f>
        <v>0</v>
      </c>
      <c r="K500" s="629">
        <f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>J517</f>
        <v>0</v>
      </c>
      <c r="K501" s="638">
        <f>IF(I501&gt;0,J501*100/I501,0)</f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91" t="s">
        <v>17</v>
      </c>
      <c r="E502" s="887"/>
      <c r="F502" s="887"/>
      <c r="G502" s="598"/>
      <c r="H502" s="641" t="s">
        <v>12</v>
      </c>
      <c r="I502" s="612"/>
      <c r="J502" s="612"/>
      <c r="K502" s="92"/>
      <c r="L502" s="642">
        <f>L503+L504</f>
        <v>0</v>
      </c>
      <c r="M502" s="642">
        <f>M503+M504</f>
        <v>0</v>
      </c>
      <c r="N502" s="642">
        <f>N503+N504</f>
        <v>0</v>
      </c>
      <c r="O502" s="642">
        <f t="shared" ref="O502:O507" si="81">IF(L502&gt;0,N502*100/L502,0)</f>
        <v>0</v>
      </c>
      <c r="P502" s="642">
        <f t="shared" ref="P502:P507" si="8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184</v>
      </c>
      <c r="F503" s="754"/>
      <c r="G503" s="598"/>
      <c r="H503" s="164" t="s">
        <v>12</v>
      </c>
      <c r="I503" s="612"/>
      <c r="J503" s="612"/>
      <c r="K503" s="92"/>
      <c r="L503" s="92">
        <f t="shared" ref="L503:N504" si="83">L506+L513</f>
        <v>0</v>
      </c>
      <c r="M503" s="92">
        <f t="shared" si="83"/>
        <v>0</v>
      </c>
      <c r="N503" s="92">
        <f t="shared" si="83"/>
        <v>0</v>
      </c>
      <c r="O503" s="92">
        <f t="shared" si="81"/>
        <v>0</v>
      </c>
      <c r="P503" s="92">
        <f t="shared" si="8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185</v>
      </c>
      <c r="F504" s="754"/>
      <c r="G504" s="598"/>
      <c r="H504" s="164" t="s">
        <v>12</v>
      </c>
      <c r="I504" s="612"/>
      <c r="J504" s="612"/>
      <c r="K504" s="92"/>
      <c r="L504" s="92">
        <f t="shared" si="83"/>
        <v>0</v>
      </c>
      <c r="M504" s="92">
        <f t="shared" si="83"/>
        <v>0</v>
      </c>
      <c r="N504" s="92">
        <f t="shared" si="83"/>
        <v>0</v>
      </c>
      <c r="O504" s="92">
        <f t="shared" si="81"/>
        <v>0</v>
      </c>
      <c r="P504" s="92">
        <f t="shared" si="8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4" t="s">
        <v>12</v>
      </c>
      <c r="I505" s="165"/>
      <c r="J505" s="165"/>
      <c r="K505" s="166"/>
      <c r="L505" s="92">
        <f>L506+L507</f>
        <v>0</v>
      </c>
      <c r="M505" s="92">
        <f>M506+M507</f>
        <v>0</v>
      </c>
      <c r="N505" s="92">
        <f>N506+N507</f>
        <v>0</v>
      </c>
      <c r="O505" s="92">
        <f t="shared" si="81"/>
        <v>0</v>
      </c>
      <c r="P505" s="92">
        <f t="shared" si="8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184</v>
      </c>
      <c r="F506" s="754"/>
      <c r="G506" s="598"/>
      <c r="H506" s="164" t="s">
        <v>12</v>
      </c>
      <c r="I506" s="612"/>
      <c r="J506" s="612"/>
      <c r="K506" s="92"/>
      <c r="L506" s="92">
        <v>0</v>
      </c>
      <c r="M506" s="92">
        <v>0</v>
      </c>
      <c r="N506" s="92">
        <v>0</v>
      </c>
      <c r="O506" s="92">
        <f t="shared" si="81"/>
        <v>0</v>
      </c>
      <c r="P506" s="92">
        <f t="shared" si="8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185</v>
      </c>
      <c r="F507" s="754"/>
      <c r="G507" s="598"/>
      <c r="H507" s="164" t="s">
        <v>12</v>
      </c>
      <c r="I507" s="612"/>
      <c r="J507" s="612"/>
      <c r="K507" s="92"/>
      <c r="L507" s="92">
        <v>0</v>
      </c>
      <c r="M507" s="92">
        <v>0</v>
      </c>
      <c r="N507" s="92">
        <f>N508+N509+N510+N511</f>
        <v>0</v>
      </c>
      <c r="O507" s="92">
        <f t="shared" si="81"/>
        <v>0</v>
      </c>
      <c r="P507" s="92">
        <f t="shared" si="8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186</v>
      </c>
      <c r="G508" s="598"/>
      <c r="H508" s="164" t="s">
        <v>12</v>
      </c>
      <c r="I508" s="612"/>
      <c r="J508" s="612"/>
      <c r="K508" s="92"/>
      <c r="L508" s="92"/>
      <c r="M508" s="92"/>
      <c r="N508" s="92">
        <v>0</v>
      </c>
      <c r="O508" s="92"/>
      <c r="P508" s="92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187</v>
      </c>
      <c r="G509" s="598"/>
      <c r="H509" s="164" t="s">
        <v>12</v>
      </c>
      <c r="I509" s="612"/>
      <c r="J509" s="612"/>
      <c r="K509" s="92"/>
      <c r="L509" s="92"/>
      <c r="M509" s="92"/>
      <c r="N509" s="92">
        <v>0</v>
      </c>
      <c r="O509" s="92"/>
      <c r="P509" s="92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188</v>
      </c>
      <c r="G510" s="598"/>
      <c r="H510" s="164" t="s">
        <v>12</v>
      </c>
      <c r="I510" s="612"/>
      <c r="J510" s="612"/>
      <c r="K510" s="92"/>
      <c r="L510" s="92"/>
      <c r="M510" s="92"/>
      <c r="N510" s="92">
        <v>0</v>
      </c>
      <c r="O510" s="92"/>
      <c r="P510" s="92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189</v>
      </c>
      <c r="G511" s="598"/>
      <c r="H511" s="164" t="s">
        <v>12</v>
      </c>
      <c r="I511" s="612"/>
      <c r="J511" s="612"/>
      <c r="K511" s="92"/>
      <c r="L511" s="92"/>
      <c r="M511" s="92"/>
      <c r="N511" s="92">
        <v>0</v>
      </c>
      <c r="O511" s="92"/>
      <c r="P511" s="92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8" t="s">
        <v>12</v>
      </c>
      <c r="I512" s="165"/>
      <c r="J512" s="165"/>
      <c r="K512" s="166"/>
      <c r="L512" s="92">
        <f>L513+L514</f>
        <v>0</v>
      </c>
      <c r="M512" s="92">
        <f>M513+M514</f>
        <v>0</v>
      </c>
      <c r="N512" s="92">
        <f>N513+N514</f>
        <v>0</v>
      </c>
      <c r="O512" s="92">
        <f>IF(L512&gt;0,N512*100/L512,0)</f>
        <v>0</v>
      </c>
      <c r="P512" s="92">
        <f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4" t="s">
        <v>12</v>
      </c>
      <c r="I513" s="165"/>
      <c r="J513" s="165"/>
      <c r="K513" s="166"/>
      <c r="L513" s="92">
        <v>0</v>
      </c>
      <c r="M513" s="92">
        <v>0</v>
      </c>
      <c r="N513" s="92">
        <v>0</v>
      </c>
      <c r="O513" s="92">
        <f>IF(L513&gt;0,N513*100/L513,0)</f>
        <v>0</v>
      </c>
      <c r="P513" s="92">
        <f>IF(M513&gt;0,N513*100/M513,0)</f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8" t="s">
        <v>12</v>
      </c>
      <c r="I514" s="165"/>
      <c r="J514" s="165"/>
      <c r="K514" s="166"/>
      <c r="L514" s="92">
        <v>0</v>
      </c>
      <c r="M514" s="92">
        <v>0</v>
      </c>
      <c r="N514" s="92">
        <v>0</v>
      </c>
      <c r="O514" s="92">
        <f>IF(L514&gt;0,N514*100/L514,0)</f>
        <v>0</v>
      </c>
      <c r="P514" s="92">
        <f>IF(M514&gt;0,N514*100/M514,0)</f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51" t="s">
        <v>38</v>
      </c>
      <c r="E515" s="646"/>
      <c r="F515" s="646"/>
      <c r="G515" s="647"/>
      <c r="H515" s="365"/>
      <c r="I515" s="165"/>
      <c r="J515" s="165"/>
      <c r="K515" s="166"/>
      <c r="L515" s="166"/>
      <c r="M515" s="166"/>
      <c r="N515" s="166"/>
      <c r="O515" s="166"/>
      <c r="P515" s="166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5"/>
      <c r="F516" s="715"/>
      <c r="G516" s="365"/>
      <c r="H516" s="648" t="s">
        <v>109</v>
      </c>
      <c r="I516" s="612"/>
      <c r="J516" s="612">
        <v>0</v>
      </c>
      <c r="K516" s="166">
        <f>IF(I516&gt;0,J516*100/I516,0)</f>
        <v>0</v>
      </c>
      <c r="L516" s="166"/>
      <c r="M516" s="166"/>
      <c r="N516" s="166"/>
      <c r="O516" s="166"/>
      <c r="P516" s="166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5"/>
      <c r="F517" s="715"/>
      <c r="G517" s="365"/>
      <c r="H517" s="649" t="s">
        <v>35</v>
      </c>
      <c r="I517" s="650"/>
      <c r="J517" s="650">
        <f>J518+J519</f>
        <v>0</v>
      </c>
      <c r="K517" s="651">
        <f>IF(I517&gt;0,J517*100/I517,0)</f>
        <v>0</v>
      </c>
      <c r="L517" s="166"/>
      <c r="M517" s="166"/>
      <c r="N517" s="166"/>
      <c r="O517" s="166"/>
      <c r="P517" s="166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5"/>
      <c r="G518" s="365"/>
      <c r="H518" s="369" t="s">
        <v>35</v>
      </c>
      <c r="I518" s="612"/>
      <c r="J518" s="612"/>
      <c r="K518" s="166"/>
      <c r="L518" s="166"/>
      <c r="M518" s="166"/>
      <c r="N518" s="166"/>
      <c r="O518" s="166"/>
      <c r="P518" s="166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5"/>
      <c r="G519" s="365"/>
      <c r="H519" s="648" t="s">
        <v>35</v>
      </c>
      <c r="I519" s="612"/>
      <c r="J519" s="612"/>
      <c r="K519" s="166"/>
      <c r="L519" s="166"/>
      <c r="M519" s="166"/>
      <c r="N519" s="166"/>
      <c r="O519" s="166"/>
      <c r="P519" s="166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3">
        <f ca="1">I537</f>
        <v>0</v>
      </c>
      <c r="J522" s="703">
        <f ca="1">J537</f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86" t="s">
        <v>17</v>
      </c>
      <c r="E523" s="887"/>
      <c r="F523" s="887"/>
      <c r="G523" s="188"/>
      <c r="H523" s="593" t="s">
        <v>12</v>
      </c>
      <c r="I523" s="269"/>
      <c r="J523" s="269"/>
      <c r="K523" s="497"/>
      <c r="L523" s="194">
        <f ca="1">L524+L525</f>
        <v>0</v>
      </c>
      <c r="M523" s="194">
        <f>M524+M525</f>
        <v>0</v>
      </c>
      <c r="N523" s="194">
        <f>N524+N525</f>
        <v>0</v>
      </c>
      <c r="O523" s="194">
        <f t="shared" ref="O523:O528" ca="1" si="84">IF(L523&gt;0,N523*100/L523,0)</f>
        <v>0</v>
      </c>
      <c r="P523" s="194">
        <f t="shared" ref="P523:P528" si="85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184</v>
      </c>
      <c r="F524" s="754"/>
      <c r="G524" s="598"/>
      <c r="H524" s="164" t="s">
        <v>12</v>
      </c>
      <c r="I524" s="612"/>
      <c r="J524" s="612"/>
      <c r="K524" s="92"/>
      <c r="L524" s="92">
        <f t="shared" ref="L524:N525" si="86">L527+L534</f>
        <v>0</v>
      </c>
      <c r="M524" s="92">
        <f t="shared" si="86"/>
        <v>0</v>
      </c>
      <c r="N524" s="92">
        <f t="shared" si="86"/>
        <v>0</v>
      </c>
      <c r="O524" s="92">
        <f t="shared" si="84"/>
        <v>0</v>
      </c>
      <c r="P524" s="92">
        <f t="shared" si="85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185</v>
      </c>
      <c r="F525" s="754"/>
      <c r="G525" s="598"/>
      <c r="H525" s="164" t="s">
        <v>12</v>
      </c>
      <c r="I525" s="612"/>
      <c r="J525" s="612"/>
      <c r="K525" s="92"/>
      <c r="L525" s="92">
        <f t="shared" ca="1" si="86"/>
        <v>0</v>
      </c>
      <c r="M525" s="92">
        <f t="shared" si="86"/>
        <v>0</v>
      </c>
      <c r="N525" s="92">
        <f t="shared" si="86"/>
        <v>0</v>
      </c>
      <c r="O525" s="92">
        <f t="shared" ca="1" si="84"/>
        <v>0</v>
      </c>
      <c r="P525" s="92">
        <f t="shared" si="85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8"/>
      <c r="H526" s="160" t="s">
        <v>12</v>
      </c>
      <c r="I526" s="183"/>
      <c r="J526" s="183"/>
      <c r="K526" s="162"/>
      <c r="L526" s="497">
        <f ca="1">L527+L528</f>
        <v>0</v>
      </c>
      <c r="M526" s="497">
        <f>M527+M528</f>
        <v>0</v>
      </c>
      <c r="N526" s="497">
        <f>N527+N528</f>
        <v>0</v>
      </c>
      <c r="O526" s="497">
        <f t="shared" ca="1" si="84"/>
        <v>0</v>
      </c>
      <c r="P526" s="497">
        <f t="shared" si="85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184</v>
      </c>
      <c r="F527" s="754"/>
      <c r="G527" s="598"/>
      <c r="H527" s="164" t="s">
        <v>12</v>
      </c>
      <c r="I527" s="612"/>
      <c r="J527" s="612"/>
      <c r="K527" s="92"/>
      <c r="L527" s="92">
        <v>0</v>
      </c>
      <c r="M527" s="92">
        <v>0</v>
      </c>
      <c r="N527" s="92">
        <v>0</v>
      </c>
      <c r="O527" s="92">
        <f t="shared" si="84"/>
        <v>0</v>
      </c>
      <c r="P527" s="92">
        <f t="shared" si="85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185</v>
      </c>
      <c r="F528" s="754"/>
      <c r="G528" s="598"/>
      <c r="H528" s="164" t="s">
        <v>12</v>
      </c>
      <c r="I528" s="612"/>
      <c r="J528" s="612"/>
      <c r="K528" s="92"/>
      <c r="L528" s="92">
        <f ca="1">IFERROR(__xludf.DUMMYFUNCTION("IMPORTRANGE(""https://docs.google.com/spreadsheets/d/1QqKyyYR6Q21VydFLVH3TRQUabQu_ym0Zz7PgGX0-kHA/edit?usp=sharing"",""แผน!GQ60"")"),0)</f>
        <v>0</v>
      </c>
      <c r="M528" s="92">
        <v>0</v>
      </c>
      <c r="N528" s="92">
        <f>N529+N530+N531+N532</f>
        <v>0</v>
      </c>
      <c r="O528" s="92">
        <f t="shared" ca="1" si="84"/>
        <v>0</v>
      </c>
      <c r="P528" s="92">
        <f t="shared" si="85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186</v>
      </c>
      <c r="G529" s="188"/>
      <c r="H529" s="160" t="s">
        <v>12</v>
      </c>
      <c r="I529" s="269"/>
      <c r="J529" s="269"/>
      <c r="K529" s="497"/>
      <c r="L529" s="497"/>
      <c r="M529" s="497"/>
      <c r="N529" s="283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187</v>
      </c>
      <c r="G530" s="188"/>
      <c r="H530" s="160" t="s">
        <v>12</v>
      </c>
      <c r="I530" s="269"/>
      <c r="J530" s="269"/>
      <c r="K530" s="497"/>
      <c r="L530" s="497"/>
      <c r="M530" s="497"/>
      <c r="N530" s="283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188</v>
      </c>
      <c r="G531" s="188"/>
      <c r="H531" s="160" t="s">
        <v>12</v>
      </c>
      <c r="I531" s="269"/>
      <c r="J531" s="269"/>
      <c r="K531" s="497"/>
      <c r="L531" s="497"/>
      <c r="M531" s="497"/>
      <c r="N531" s="283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189</v>
      </c>
      <c r="G532" s="188"/>
      <c r="H532" s="160" t="s">
        <v>12</v>
      </c>
      <c r="I532" s="269"/>
      <c r="J532" s="269"/>
      <c r="K532" s="497"/>
      <c r="L532" s="497"/>
      <c r="M532" s="497"/>
      <c r="N532" s="283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8"/>
      <c r="H533" s="167" t="s">
        <v>12</v>
      </c>
      <c r="I533" s="183"/>
      <c r="J533" s="183"/>
      <c r="K533" s="162"/>
      <c r="L533" s="497">
        <f ca="1">L534+L535</f>
        <v>0</v>
      </c>
      <c r="M533" s="497">
        <f>M534+M535</f>
        <v>0</v>
      </c>
      <c r="N533" s="497">
        <f>N534+N535</f>
        <v>0</v>
      </c>
      <c r="O533" s="497">
        <f ca="1">IF(L533&gt;0,N533*100/L533,0)</f>
        <v>0</v>
      </c>
      <c r="P533" s="497">
        <f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4" t="s">
        <v>12</v>
      </c>
      <c r="I534" s="165"/>
      <c r="J534" s="165"/>
      <c r="K534" s="166"/>
      <c r="L534" s="92">
        <v>0</v>
      </c>
      <c r="M534" s="92">
        <v>0</v>
      </c>
      <c r="N534" s="92">
        <v>0</v>
      </c>
      <c r="O534" s="92">
        <f>IF(L534&gt;0,N534*100/L534,0)</f>
        <v>0</v>
      </c>
      <c r="P534" s="92">
        <f>IF(M534&gt;0,N534*100/M534,0)</f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8" t="s">
        <v>12</v>
      </c>
      <c r="I535" s="165"/>
      <c r="J535" s="165"/>
      <c r="K535" s="166"/>
      <c r="L535" s="92">
        <f ca="1">IFERROR(__xludf.DUMMYFUNCTION("IMPORTRANGE(""https://docs.google.com/spreadsheets/d/1QqKyyYR6Q21VydFLVH3TRQUabQu_ym0Zz7PgGX0-kHA/edit?usp=sharing"",""แผน!GT60"")"),0)</f>
        <v>0</v>
      </c>
      <c r="M535" s="92">
        <v>0</v>
      </c>
      <c r="N535" s="92">
        <v>0</v>
      </c>
      <c r="O535" s="92">
        <f ca="1">IF(L535&gt;0,N535*100/L535,0)</f>
        <v>0</v>
      </c>
      <c r="P535" s="92">
        <f>IF(M535&gt;0,N535*100/M535,0)</f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50" t="s">
        <v>38</v>
      </c>
      <c r="E536" s="756"/>
      <c r="F536" s="756"/>
      <c r="G536" s="608"/>
      <c r="H536" s="757"/>
      <c r="I536" s="183"/>
      <c r="J536" s="183"/>
      <c r="K536" s="162"/>
      <c r="L536" s="162"/>
      <c r="M536" s="162"/>
      <c r="N536" s="162"/>
      <c r="O536" s="162"/>
      <c r="P536" s="162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227</v>
      </c>
      <c r="E537" s="758"/>
      <c r="F537" s="758"/>
      <c r="G537" s="188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87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228</v>
      </c>
      <c r="F538" s="758"/>
      <c r="G538" s="188"/>
      <c r="H538" s="618" t="s">
        <v>35</v>
      </c>
      <c r="I538" s="269">
        <f ca="1">IFERROR(__xludf.DUMMYFUNCTION("IMPORTRANGE(""https://docs.google.com/spreadsheets/d/1QqKyyYR6Q21VydFLVH3TRQUabQu_ym0Zz7PgGX0-kHA/edit?usp=sharing"",""แผน!GV60"")"),0)</f>
        <v>0</v>
      </c>
      <c r="J538" s="214">
        <v>0</v>
      </c>
      <c r="K538" s="497">
        <f t="shared" ca="1" si="87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229</v>
      </c>
      <c r="F539" s="758"/>
      <c r="G539" s="188"/>
      <c r="H539" s="618" t="s">
        <v>35</v>
      </c>
      <c r="I539" s="269">
        <f ca="1">IFERROR(__xludf.DUMMYFUNCTION("IMPORTRANGE(""https://docs.google.com/spreadsheets/d/1QqKyyYR6Q21VydFLVH3TRQUabQu_ym0Zz7PgGX0-kHA/edit?usp=sharing"",""แผน!GW60"")"),0)</f>
        <v>0</v>
      </c>
      <c r="J539" s="214">
        <v>0</v>
      </c>
      <c r="K539" s="497">
        <f t="shared" ca="1" si="87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230</v>
      </c>
      <c r="F540" s="758"/>
      <c r="G540" s="188"/>
      <c r="H540" s="618" t="s">
        <v>35</v>
      </c>
      <c r="I540" s="269">
        <f ca="1">IFERROR(__xludf.DUMMYFUNCTION("IMPORTRANGE(""https://docs.google.com/spreadsheets/d/1QqKyyYR6Q21VydFLVH3TRQUabQu_ym0Zz7PgGX0-kHA/edit?usp=sharing"",""แผน!GX60"")"),0)</f>
        <v>0</v>
      </c>
      <c r="J540" s="214">
        <v>0</v>
      </c>
      <c r="K540" s="497">
        <f t="shared" ca="1" si="87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231</v>
      </c>
      <c r="F541" s="758"/>
      <c r="G541" s="188"/>
      <c r="H541" s="618" t="s">
        <v>35</v>
      </c>
      <c r="I541" s="269">
        <f ca="1">IFERROR(__xludf.DUMMYFUNCTION("IMPORTRANGE(""https://docs.google.com/spreadsheets/d/1QqKyyYR6Q21VydFLVH3TRQUabQu_ym0Zz7PgGX0-kHA/edit?usp=sharing"",""แผน!GY60"")"),0)</f>
        <v>0</v>
      </c>
      <c r="J541" s="214">
        <v>0</v>
      </c>
      <c r="K541" s="497">
        <f t="shared" ca="1" si="87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8"/>
      <c r="H542" s="618" t="s">
        <v>35</v>
      </c>
      <c r="I542" s="269">
        <f ca="1">IFERROR(__xludf.DUMMYFUNCTION("IMPORTRANGE(""https://docs.google.com/spreadsheets/d/1QqKyyYR6Q21VydFLVH3TRQUabQu_ym0Zz7PgGX0-kHA/edit?usp=sharing"",""แผน!GZ60"")"),0)</f>
        <v>0</v>
      </c>
      <c r="J542" s="214">
        <v>0</v>
      </c>
      <c r="K542" s="497">
        <f t="shared" ca="1" si="87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ca="1">I559</f>
        <v>0</v>
      </c>
      <c r="J543" s="682">
        <f>J559</f>
        <v>0</v>
      </c>
      <c r="K543" s="683">
        <f t="shared" ca="1" si="87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911" t="s">
        <v>17</v>
      </c>
      <c r="E544" s="889"/>
      <c r="F544" s="889"/>
      <c r="G544" s="686"/>
      <c r="H544" s="274" t="s">
        <v>12</v>
      </c>
      <c r="I544" s="419"/>
      <c r="J544" s="419"/>
      <c r="K544" s="153"/>
      <c r="L544" s="154">
        <f ca="1">L545+L546</f>
        <v>120300</v>
      </c>
      <c r="M544" s="154">
        <f ca="1">M545+M546</f>
        <v>120300</v>
      </c>
      <c r="N544" s="154">
        <f>N545+N546</f>
        <v>120300</v>
      </c>
      <c r="O544" s="154">
        <f t="shared" ref="O544:O549" ca="1" si="88">IF(L544&gt;0,N544*100/L544,0)</f>
        <v>100</v>
      </c>
      <c r="P544" s="154">
        <f t="shared" ref="P544:P549" ca="1" si="89">IF(M544&gt;0,N544*100/M544,0)</f>
        <v>100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184</v>
      </c>
      <c r="F545" s="754"/>
      <c r="G545" s="598"/>
      <c r="H545" s="164" t="s">
        <v>12</v>
      </c>
      <c r="I545" s="612"/>
      <c r="J545" s="612"/>
      <c r="K545" s="92"/>
      <c r="L545" s="92">
        <f>L548+L556</f>
        <v>0</v>
      </c>
      <c r="M545" s="92">
        <f>M548+M555</f>
        <v>0</v>
      </c>
      <c r="N545" s="92">
        <f>N548+N555</f>
        <v>0</v>
      </c>
      <c r="O545" s="92">
        <f t="shared" si="88"/>
        <v>0</v>
      </c>
      <c r="P545" s="92">
        <f t="shared" si="8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185</v>
      </c>
      <c r="F546" s="754"/>
      <c r="G546" s="598"/>
      <c r="H546" s="164" t="s">
        <v>12</v>
      </c>
      <c r="I546" s="612"/>
      <c r="J546" s="612"/>
      <c r="K546" s="92"/>
      <c r="L546" s="92">
        <f ca="1">L549+L557</f>
        <v>120300</v>
      </c>
      <c r="M546" s="92">
        <f ca="1">M549+M556</f>
        <v>120300</v>
      </c>
      <c r="N546" s="92">
        <f>N549+N556</f>
        <v>120300</v>
      </c>
      <c r="O546" s="92">
        <f t="shared" ca="1" si="88"/>
        <v>100</v>
      </c>
      <c r="P546" s="92">
        <f t="shared" ca="1" si="89"/>
        <v>100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8"/>
      <c r="H547" s="160" t="s">
        <v>12</v>
      </c>
      <c r="I547" s="183"/>
      <c r="J547" s="183"/>
      <c r="K547" s="162"/>
      <c r="L547" s="497">
        <f ca="1">L548+L549</f>
        <v>120300</v>
      </c>
      <c r="M547" s="497">
        <f ca="1">M548+M549</f>
        <v>120300</v>
      </c>
      <c r="N547" s="497">
        <f>N548+N549</f>
        <v>120300</v>
      </c>
      <c r="O547" s="497">
        <f t="shared" ca="1" si="88"/>
        <v>100</v>
      </c>
      <c r="P547" s="497">
        <f t="shared" ca="1" si="89"/>
        <v>100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184</v>
      </c>
      <c r="F548" s="754"/>
      <c r="G548" s="598"/>
      <c r="H548" s="164" t="s">
        <v>12</v>
      </c>
      <c r="I548" s="612"/>
      <c r="J548" s="612"/>
      <c r="K548" s="92"/>
      <c r="L548" s="92">
        <v>0</v>
      </c>
      <c r="M548" s="92">
        <v>0</v>
      </c>
      <c r="N548" s="92">
        <v>0</v>
      </c>
      <c r="O548" s="92">
        <f t="shared" si="88"/>
        <v>0</v>
      </c>
      <c r="P548" s="92">
        <f t="shared" si="8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185</v>
      </c>
      <c r="F549" s="754"/>
      <c r="G549" s="598"/>
      <c r="H549" s="164" t="s">
        <v>12</v>
      </c>
      <c r="I549" s="612"/>
      <c r="J549" s="612"/>
      <c r="K549" s="92"/>
      <c r="L549" s="92">
        <f ca="1">IFERROR(__xludf.DUMMYFUNCTION("IMPORTRANGE(""https://docs.google.com/spreadsheets/d/1QqKyyYR6Q21VydFLVH3TRQUabQu_ym0Zz7PgGX0-kHA/edit?usp=sharing"",""แผน!HB60"")"),120300)</f>
        <v>120300</v>
      </c>
      <c r="M549" s="92">
        <f ca="1">L549</f>
        <v>120300</v>
      </c>
      <c r="N549" s="92">
        <f>N550+N551+N552+N553+N554</f>
        <v>120300</v>
      </c>
      <c r="O549" s="92">
        <f t="shared" ca="1" si="88"/>
        <v>100</v>
      </c>
      <c r="P549" s="92">
        <f t="shared" ca="1" si="89"/>
        <v>100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186</v>
      </c>
      <c r="G550" s="188"/>
      <c r="H550" s="160" t="s">
        <v>12</v>
      </c>
      <c r="I550" s="269"/>
      <c r="J550" s="269"/>
      <c r="K550" s="497"/>
      <c r="L550" s="497"/>
      <c r="M550" s="497"/>
      <c r="N550" s="283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187</v>
      </c>
      <c r="G551" s="188"/>
      <c r="H551" s="160" t="s">
        <v>12</v>
      </c>
      <c r="I551" s="269"/>
      <c r="J551" s="269"/>
      <c r="K551" s="497"/>
      <c r="L551" s="497"/>
      <c r="M551" s="497"/>
      <c r="N551" s="283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188</v>
      </c>
      <c r="G552" s="188"/>
      <c r="H552" s="160" t="s">
        <v>12</v>
      </c>
      <c r="I552" s="269"/>
      <c r="J552" s="269"/>
      <c r="K552" s="497"/>
      <c r="L552" s="497"/>
      <c r="M552" s="497"/>
      <c r="N552" s="283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189</v>
      </c>
      <c r="G553" s="188"/>
      <c r="H553" s="160" t="s">
        <v>12</v>
      </c>
      <c r="I553" s="269"/>
      <c r="J553" s="269"/>
      <c r="K553" s="497"/>
      <c r="L553" s="497"/>
      <c r="M553" s="497"/>
      <c r="N553" s="283">
        <v>120300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233</v>
      </c>
      <c r="G554" s="188"/>
      <c r="H554" s="160" t="s">
        <v>12</v>
      </c>
      <c r="I554" s="269"/>
      <c r="J554" s="269"/>
      <c r="K554" s="497"/>
      <c r="L554" s="497"/>
      <c r="M554" s="497"/>
      <c r="N554" s="283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8"/>
      <c r="H555" s="167" t="s">
        <v>12</v>
      </c>
      <c r="I555" s="183"/>
      <c r="J555" s="183"/>
      <c r="K555" s="162"/>
      <c r="L555" s="497">
        <f ca="1">L556+L557</f>
        <v>0</v>
      </c>
      <c r="M555" s="497">
        <f>M556+M557</f>
        <v>0</v>
      </c>
      <c r="N555" s="497">
        <f>N556+N557</f>
        <v>0</v>
      </c>
      <c r="O555" s="497">
        <f ca="1">IF(L555&gt;0,N555*100/L555,0)</f>
        <v>0</v>
      </c>
      <c r="P555" s="497">
        <f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4" t="s">
        <v>12</v>
      </c>
      <c r="I556" s="165"/>
      <c r="J556" s="165"/>
      <c r="K556" s="166"/>
      <c r="L556" s="92">
        <v>0</v>
      </c>
      <c r="M556" s="92">
        <v>0</v>
      </c>
      <c r="N556" s="92">
        <v>0</v>
      </c>
      <c r="O556" s="92">
        <f>IF(L556&gt;0,N556*100/L556,0)</f>
        <v>0</v>
      </c>
      <c r="P556" s="92">
        <f>IF(M556&gt;0,N556*100/M556,0)</f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8" t="s">
        <v>12</v>
      </c>
      <c r="I557" s="165"/>
      <c r="J557" s="165"/>
      <c r="K557" s="166"/>
      <c r="L557" s="92">
        <f ca="1">IFERROR(__xludf.DUMMYFUNCTION("IMPORTRANGE(""https://docs.google.com/spreadsheets/d/1QqKyyYR6Q21VydFLVH3TRQUabQu_ym0Zz7PgGX0-kHA/edit?usp=sharing"",""แผน!HF60"")"),0)</f>
        <v>0</v>
      </c>
      <c r="M557" s="92">
        <v>0</v>
      </c>
      <c r="N557" s="92">
        <v>0</v>
      </c>
      <c r="O557" s="92">
        <f ca="1">IF(L557&gt;0,N557*100/L557,0)</f>
        <v>0</v>
      </c>
      <c r="P557" s="92">
        <f>IF(M557&gt;0,N557*100/M557,0)</f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50" t="s">
        <v>38</v>
      </c>
      <c r="E558" s="756"/>
      <c r="F558" s="756"/>
      <c r="G558" s="608"/>
      <c r="H558" s="757"/>
      <c r="I558" s="183"/>
      <c r="J558" s="183"/>
      <c r="K558" s="162"/>
      <c r="L558" s="162"/>
      <c r="M558" s="162"/>
      <c r="N558" s="162"/>
      <c r="O558" s="162"/>
      <c r="P558" s="162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3">
        <f ca="1">I576</f>
        <v>0</v>
      </c>
      <c r="J559" s="703">
        <f>J576</f>
        <v>0</v>
      </c>
      <c r="K559" s="672">
        <f ca="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7"/>
      <c r="H560" s="762" t="s">
        <v>46</v>
      </c>
      <c r="I560" s="192">
        <f ca="1">IFERROR(__xludf.DUMMYFUNCTION("IMPORTRANGE(""https://docs.google.com/spreadsheets/d/1QqKyyYR6Q21VydFLVH3TRQUabQu_ym0Zz7PgGX0-kHA/edit?usp=sharing"",""แผน!HH60"")"),0)</f>
        <v>0</v>
      </c>
      <c r="J560" s="192">
        <f>J562+J564+J566</f>
        <v>0</v>
      </c>
      <c r="K560" s="410">
        <f ca="1">IF(I560&gt;0,J560*100/I560,0)</f>
        <v>0</v>
      </c>
      <c r="L560" s="162"/>
      <c r="M560" s="162"/>
      <c r="N560" s="162"/>
      <c r="O560" s="162"/>
      <c r="P560" s="162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2">
        <f ca="1">IFERROR(__xludf.DUMMYFUNCTION("IMPORTRANGE(""https://docs.google.com/spreadsheets/d/1QqKyyYR6Q21VydFLVH3TRQUabQu_ym0Zz7PgGX0-kHA/edit?usp=sharing"",""แผน!HG60"")"),0)</f>
        <v>0</v>
      </c>
      <c r="J561" s="192">
        <f>J563+J565+J567</f>
        <v>0</v>
      </c>
      <c r="K561" s="410">
        <f ca="1">IF(I561&gt;0,J561*100/I561,0)</f>
        <v>0</v>
      </c>
      <c r="L561" s="162"/>
      <c r="M561" s="162"/>
      <c r="N561" s="162"/>
      <c r="O561" s="162"/>
      <c r="P561" s="162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7"/>
      <c r="H562" s="759" t="s">
        <v>46</v>
      </c>
      <c r="I562" s="183"/>
      <c r="J562" s="214">
        <v>0</v>
      </c>
      <c r="K562" s="162"/>
      <c r="L562" s="162"/>
      <c r="M562" s="162"/>
      <c r="N562" s="162"/>
      <c r="O562" s="162"/>
      <c r="P562" s="162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3"/>
      <c r="J563" s="214">
        <v>0</v>
      </c>
      <c r="K563" s="162"/>
      <c r="L563" s="162"/>
      <c r="M563" s="162"/>
      <c r="N563" s="162"/>
      <c r="O563" s="162"/>
      <c r="P563" s="162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7"/>
      <c r="H564" s="759" t="s">
        <v>46</v>
      </c>
      <c r="I564" s="183"/>
      <c r="J564" s="214">
        <v>0</v>
      </c>
      <c r="K564" s="162"/>
      <c r="L564" s="162"/>
      <c r="M564" s="162"/>
      <c r="N564" s="162"/>
      <c r="O564" s="162"/>
      <c r="P564" s="162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3"/>
      <c r="J565" s="214">
        <v>0</v>
      </c>
      <c r="K565" s="162"/>
      <c r="L565" s="162"/>
      <c r="M565" s="162"/>
      <c r="N565" s="162"/>
      <c r="O565" s="162"/>
      <c r="P565" s="162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7"/>
      <c r="H566" s="759" t="s">
        <v>46</v>
      </c>
      <c r="I566" s="183"/>
      <c r="J566" s="214">
        <v>0</v>
      </c>
      <c r="K566" s="162"/>
      <c r="L566" s="162"/>
      <c r="M566" s="162"/>
      <c r="N566" s="162"/>
      <c r="O566" s="162"/>
      <c r="P566" s="162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3"/>
      <c r="J567" s="214">
        <v>0</v>
      </c>
      <c r="K567" s="162"/>
      <c r="L567" s="162"/>
      <c r="M567" s="162"/>
      <c r="N567" s="162"/>
      <c r="O567" s="162"/>
      <c r="P567" s="162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7"/>
      <c r="H568" s="762" t="s">
        <v>46</v>
      </c>
      <c r="I568" s="192">
        <f ca="1">IFERROR(__xludf.DUMMYFUNCTION("IMPORTRANGE(""https://docs.google.com/spreadsheets/d/1QqKyyYR6Q21VydFLVH3TRQUabQu_ym0Zz7PgGX0-kHA/edit?usp=sharing"",""แผน!HH60"")"),0)</f>
        <v>0</v>
      </c>
      <c r="J568" s="676">
        <f>J570+J572+J574</f>
        <v>0</v>
      </c>
      <c r="K568" s="410">
        <f ca="1">IF(I568&gt;0,J568*100/I568,0)</f>
        <v>0</v>
      </c>
      <c r="L568" s="162"/>
      <c r="M568" s="162"/>
      <c r="N568" s="162"/>
      <c r="O568" s="162"/>
      <c r="P568" s="162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2">
        <f ca="1">IFERROR(__xludf.DUMMYFUNCTION("IMPORTRANGE(""https://docs.google.com/spreadsheets/d/1QqKyyYR6Q21VydFLVH3TRQUabQu_ym0Zz7PgGX0-kHA/edit?usp=sharing"",""แผน!HG60"")"),0)</f>
        <v>0</v>
      </c>
      <c r="J569" s="676">
        <f>J571+J573+J575</f>
        <v>0</v>
      </c>
      <c r="K569" s="410">
        <f ca="1">IF(I569&gt;0,J569*100/I569,0)</f>
        <v>0</v>
      </c>
      <c r="L569" s="162"/>
      <c r="M569" s="162"/>
      <c r="N569" s="162"/>
      <c r="O569" s="162"/>
      <c r="P569" s="162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7"/>
      <c r="H570" s="759" t="s">
        <v>46</v>
      </c>
      <c r="I570" s="183"/>
      <c r="J570" s="214">
        <v>0</v>
      </c>
      <c r="K570" s="162"/>
      <c r="L570" s="162"/>
      <c r="M570" s="162"/>
      <c r="N570" s="162"/>
      <c r="O570" s="162"/>
      <c r="P570" s="162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3"/>
      <c r="J571" s="214">
        <v>0</v>
      </c>
      <c r="K571" s="162"/>
      <c r="L571" s="162"/>
      <c r="M571" s="162"/>
      <c r="N571" s="162"/>
      <c r="O571" s="162"/>
      <c r="P571" s="162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7"/>
      <c r="H572" s="759" t="s">
        <v>46</v>
      </c>
      <c r="I572" s="183"/>
      <c r="J572" s="214">
        <v>0</v>
      </c>
      <c r="K572" s="162"/>
      <c r="L572" s="162"/>
      <c r="M572" s="162"/>
      <c r="N572" s="162"/>
      <c r="O572" s="162"/>
      <c r="P572" s="162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3"/>
      <c r="J573" s="214">
        <v>0</v>
      </c>
      <c r="K573" s="162"/>
      <c r="L573" s="162"/>
      <c r="M573" s="162"/>
      <c r="N573" s="162"/>
      <c r="O573" s="162"/>
      <c r="P573" s="162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7"/>
      <c r="H574" s="759" t="s">
        <v>46</v>
      </c>
      <c r="I574" s="183"/>
      <c r="J574" s="214">
        <v>0</v>
      </c>
      <c r="K574" s="162"/>
      <c r="L574" s="162"/>
      <c r="M574" s="162"/>
      <c r="N574" s="162"/>
      <c r="O574" s="162"/>
      <c r="P574" s="162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3"/>
      <c r="J575" s="214">
        <v>0</v>
      </c>
      <c r="K575" s="162"/>
      <c r="L575" s="162"/>
      <c r="M575" s="162"/>
      <c r="N575" s="162"/>
      <c r="O575" s="162"/>
      <c r="P575" s="162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7"/>
      <c r="H576" s="762" t="s">
        <v>46</v>
      </c>
      <c r="I576" s="192">
        <f ca="1">IFERROR(__xludf.DUMMYFUNCTION("IMPORTRANGE(""https://docs.google.com/spreadsheets/d/1QqKyyYR6Q21VydFLVH3TRQUabQu_ym0Zz7PgGX0-kHA/edit?usp=sharing"",""แผน!HH60"")"),0)</f>
        <v>0</v>
      </c>
      <c r="J576" s="676">
        <f>J578+J580+J582+J588+J590</f>
        <v>0</v>
      </c>
      <c r="K576" s="410">
        <f ca="1">IF(I576&gt;0,J576*100/I576,0)</f>
        <v>0</v>
      </c>
      <c r="L576" s="162"/>
      <c r="M576" s="162"/>
      <c r="N576" s="162"/>
      <c r="O576" s="162"/>
      <c r="P576" s="162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2">
        <f ca="1">IFERROR(__xludf.DUMMYFUNCTION("IMPORTRANGE(""https://docs.google.com/spreadsheets/d/1QqKyyYR6Q21VydFLVH3TRQUabQu_ym0Zz7PgGX0-kHA/edit?usp=sharing"",""แผน!HG60"")"),0)</f>
        <v>0</v>
      </c>
      <c r="J577" s="676">
        <f>J579+J581+J583+J589+J591</f>
        <v>0</v>
      </c>
      <c r="K577" s="410">
        <f ca="1">IF(I577&gt;0,J577*100/I577,0)</f>
        <v>0</v>
      </c>
      <c r="L577" s="162"/>
      <c r="M577" s="162"/>
      <c r="N577" s="162"/>
      <c r="O577" s="162"/>
      <c r="P577" s="162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7"/>
      <c r="H578" s="759" t="s">
        <v>46</v>
      </c>
      <c r="I578" s="183"/>
      <c r="J578" s="214">
        <v>0</v>
      </c>
      <c r="K578" s="162"/>
      <c r="L578" s="162"/>
      <c r="M578" s="162"/>
      <c r="N578" s="162"/>
      <c r="O578" s="162"/>
      <c r="P578" s="162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3"/>
      <c r="J579" s="214">
        <v>0</v>
      </c>
      <c r="K579" s="162"/>
      <c r="L579" s="162"/>
      <c r="M579" s="162"/>
      <c r="N579" s="162"/>
      <c r="O579" s="162"/>
      <c r="P579" s="162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7"/>
      <c r="H580" s="759" t="s">
        <v>46</v>
      </c>
      <c r="I580" s="183"/>
      <c r="J580" s="214">
        <v>0</v>
      </c>
      <c r="K580" s="162"/>
      <c r="L580" s="162"/>
      <c r="M580" s="162"/>
      <c r="N580" s="162"/>
      <c r="O580" s="162"/>
      <c r="P580" s="162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3"/>
      <c r="J581" s="214">
        <v>0</v>
      </c>
      <c r="K581" s="162"/>
      <c r="L581" s="162"/>
      <c r="M581" s="162"/>
      <c r="N581" s="162"/>
      <c r="O581" s="162"/>
      <c r="P581" s="162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7"/>
      <c r="H582" s="759" t="s">
        <v>46</v>
      </c>
      <c r="I582" s="183"/>
      <c r="J582" s="676">
        <f>J584+J586</f>
        <v>0</v>
      </c>
      <c r="K582" s="410"/>
      <c r="L582" s="162"/>
      <c r="M582" s="162"/>
      <c r="N582" s="162"/>
      <c r="O582" s="162"/>
      <c r="P582" s="162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3"/>
      <c r="J583" s="676">
        <f>J585+J587</f>
        <v>0</v>
      </c>
      <c r="K583" s="410"/>
      <c r="L583" s="162"/>
      <c r="M583" s="162"/>
      <c r="N583" s="162"/>
      <c r="O583" s="162"/>
      <c r="P583" s="162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7"/>
      <c r="H584" s="759" t="s">
        <v>46</v>
      </c>
      <c r="I584" s="183"/>
      <c r="J584" s="214">
        <v>0</v>
      </c>
      <c r="K584" s="162"/>
      <c r="L584" s="162"/>
      <c r="M584" s="162"/>
      <c r="N584" s="162"/>
      <c r="O584" s="162"/>
      <c r="P584" s="162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3"/>
      <c r="J585" s="214">
        <v>0</v>
      </c>
      <c r="K585" s="162"/>
      <c r="L585" s="162"/>
      <c r="M585" s="162"/>
      <c r="N585" s="162"/>
      <c r="O585" s="162"/>
      <c r="P585" s="162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7"/>
      <c r="H586" s="759" t="s">
        <v>46</v>
      </c>
      <c r="I586" s="183"/>
      <c r="J586" s="214">
        <v>0</v>
      </c>
      <c r="K586" s="162"/>
      <c r="L586" s="162"/>
      <c r="M586" s="162"/>
      <c r="N586" s="162"/>
      <c r="O586" s="162"/>
      <c r="P586" s="162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3"/>
      <c r="J587" s="214">
        <v>0</v>
      </c>
      <c r="K587" s="162"/>
      <c r="L587" s="162"/>
      <c r="M587" s="162"/>
      <c r="N587" s="162"/>
      <c r="O587" s="162"/>
      <c r="P587" s="162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7"/>
      <c r="H588" s="759" t="s">
        <v>46</v>
      </c>
      <c r="I588" s="183"/>
      <c r="J588" s="214">
        <v>0</v>
      </c>
      <c r="K588" s="162"/>
      <c r="L588" s="162"/>
      <c r="M588" s="162"/>
      <c r="N588" s="162"/>
      <c r="O588" s="162"/>
      <c r="P588" s="162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3"/>
      <c r="J589" s="214">
        <v>0</v>
      </c>
      <c r="K589" s="162"/>
      <c r="L589" s="162"/>
      <c r="M589" s="162"/>
      <c r="N589" s="162"/>
      <c r="O589" s="162"/>
      <c r="P589" s="162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7"/>
      <c r="H590" s="759" t="s">
        <v>46</v>
      </c>
      <c r="I590" s="183"/>
      <c r="J590" s="214">
        <v>0</v>
      </c>
      <c r="K590" s="162"/>
      <c r="L590" s="162"/>
      <c r="M590" s="162"/>
      <c r="N590" s="162"/>
      <c r="O590" s="162"/>
      <c r="P590" s="162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98">
        <f ca="1">I593</f>
        <v>1202.79</v>
      </c>
      <c r="J592" s="703">
        <f>J593</f>
        <v>1202.7925</v>
      </c>
      <c r="K592" s="672">
        <f ca="1">IF(I592&gt;0,J592*100/I592,0)</f>
        <v>100.00020785008189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2">
        <f>J595+J603+J609</f>
        <v>1202.7925</v>
      </c>
      <c r="K593" s="410">
        <f ca="1">IF(I593&gt;0,J593*100/I593,0)</f>
        <v>100.00020785008189</v>
      </c>
      <c r="L593" s="162"/>
      <c r="M593" s="162"/>
      <c r="N593" s="162"/>
      <c r="O593" s="162"/>
      <c r="P593" s="162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2">
        <f ca="1">IFERROR(__xludf.DUMMYFUNCTION("IMPORTRANGE(""https://docs.google.com/spreadsheets/d/1QqKyyYR6Q21VydFLVH3TRQUabQu_ym0Zz7PgGX0-kHA/edit?usp=sharing"",""แผน!HI60"")"),181)</f>
        <v>181</v>
      </c>
      <c r="J594" s="192">
        <f>J596+J604+J610</f>
        <v>181</v>
      </c>
      <c r="K594" s="410">
        <f ca="1">IF(I594&gt;0,J594*100/I594,0)</f>
        <v>100</v>
      </c>
      <c r="L594" s="162"/>
      <c r="M594" s="162"/>
      <c r="N594" s="162"/>
      <c r="O594" s="162"/>
      <c r="P594" s="162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7"/>
      <c r="H595" s="759" t="s">
        <v>46</v>
      </c>
      <c r="I595" s="183"/>
      <c r="J595" s="183">
        <f>J597+J599</f>
        <v>1090.7950000000001</v>
      </c>
      <c r="K595" s="162"/>
      <c r="L595" s="162"/>
      <c r="M595" s="162"/>
      <c r="N595" s="162"/>
      <c r="O595" s="162"/>
      <c r="P595" s="162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3"/>
      <c r="J596" s="183">
        <f>J598+J600</f>
        <v>170</v>
      </c>
      <c r="K596" s="162"/>
      <c r="L596" s="162"/>
      <c r="M596" s="162"/>
      <c r="N596" s="162"/>
      <c r="O596" s="162"/>
      <c r="P596" s="162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254</v>
      </c>
      <c r="E597" s="621"/>
      <c r="F597" s="621"/>
      <c r="G597" s="757"/>
      <c r="H597" s="759" t="s">
        <v>46</v>
      </c>
      <c r="I597" s="183"/>
      <c r="J597" s="214">
        <v>1090.7950000000001</v>
      </c>
      <c r="K597" s="162"/>
      <c r="L597" s="162"/>
      <c r="M597" s="162"/>
      <c r="N597" s="162"/>
      <c r="O597" s="162"/>
      <c r="P597" s="162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69"/>
      <c r="J598" s="214">
        <v>170</v>
      </c>
      <c r="K598" s="162"/>
      <c r="L598" s="162"/>
      <c r="M598" s="162"/>
      <c r="N598" s="162"/>
      <c r="O598" s="162"/>
      <c r="P598" s="162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255</v>
      </c>
      <c r="E599" s="621"/>
      <c r="F599" s="621"/>
      <c r="G599" s="757"/>
      <c r="H599" s="759" t="s">
        <v>46</v>
      </c>
      <c r="I599" s="269"/>
      <c r="J599" s="214">
        <v>0</v>
      </c>
      <c r="K599" s="162"/>
      <c r="L599" s="162"/>
      <c r="M599" s="162"/>
      <c r="N599" s="162"/>
      <c r="O599" s="162"/>
      <c r="P599" s="162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69"/>
      <c r="J600" s="214">
        <v>0</v>
      </c>
      <c r="K600" s="162"/>
      <c r="L600" s="162"/>
      <c r="M600" s="162"/>
      <c r="N600" s="162"/>
      <c r="O600" s="162"/>
      <c r="P600" s="162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256</v>
      </c>
      <c r="E601" s="621"/>
      <c r="F601" s="621"/>
      <c r="G601" s="757"/>
      <c r="H601" s="759" t="s">
        <v>46</v>
      </c>
      <c r="I601" s="269"/>
      <c r="J601" s="214">
        <v>0</v>
      </c>
      <c r="K601" s="162"/>
      <c r="L601" s="162"/>
      <c r="M601" s="162"/>
      <c r="N601" s="162"/>
      <c r="O601" s="162"/>
      <c r="P601" s="162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69"/>
      <c r="J602" s="214">
        <v>0</v>
      </c>
      <c r="K602" s="162"/>
      <c r="L602" s="162"/>
      <c r="M602" s="162"/>
      <c r="N602" s="162"/>
      <c r="O602" s="162"/>
      <c r="P602" s="162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257</v>
      </c>
      <c r="D603" s="613"/>
      <c r="E603" s="613"/>
      <c r="F603" s="621"/>
      <c r="G603" s="757"/>
      <c r="H603" s="759" t="s">
        <v>46</v>
      </c>
      <c r="I603" s="269"/>
      <c r="J603" s="269">
        <f>J605+J607</f>
        <v>111.9975</v>
      </c>
      <c r="K603" s="162"/>
      <c r="L603" s="162"/>
      <c r="M603" s="162"/>
      <c r="N603" s="162"/>
      <c r="O603" s="162"/>
      <c r="P603" s="162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69"/>
      <c r="J604" s="269">
        <f>J606+J608</f>
        <v>11</v>
      </c>
      <c r="K604" s="162"/>
      <c r="L604" s="162"/>
      <c r="M604" s="162"/>
      <c r="N604" s="162"/>
      <c r="O604" s="162"/>
      <c r="P604" s="162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258</v>
      </c>
      <c r="E605" s="621"/>
      <c r="F605" s="621"/>
      <c r="G605" s="757"/>
      <c r="H605" s="759" t="s">
        <v>46</v>
      </c>
      <c r="I605" s="269"/>
      <c r="J605" s="214">
        <v>111.9975</v>
      </c>
      <c r="K605" s="162"/>
      <c r="L605" s="162"/>
      <c r="M605" s="162"/>
      <c r="N605" s="162"/>
      <c r="O605" s="162"/>
      <c r="P605" s="162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69"/>
      <c r="J606" s="214">
        <v>11</v>
      </c>
      <c r="K606" s="162"/>
      <c r="L606" s="162"/>
      <c r="M606" s="162"/>
      <c r="N606" s="162"/>
      <c r="O606" s="162"/>
      <c r="P606" s="162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259</v>
      </c>
      <c r="E607" s="613"/>
      <c r="F607" s="621"/>
      <c r="G607" s="757"/>
      <c r="H607" s="759" t="s">
        <v>46</v>
      </c>
      <c r="I607" s="269"/>
      <c r="J607" s="214">
        <v>0</v>
      </c>
      <c r="K607" s="162"/>
      <c r="L607" s="162"/>
      <c r="M607" s="162"/>
      <c r="N607" s="162"/>
      <c r="O607" s="162"/>
      <c r="P607" s="162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69"/>
      <c r="J608" s="214">
        <v>0</v>
      </c>
      <c r="K608" s="162"/>
      <c r="L608" s="162"/>
      <c r="M608" s="162"/>
      <c r="N608" s="162"/>
      <c r="O608" s="162"/>
      <c r="P608" s="162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7"/>
      <c r="H609" s="759" t="s">
        <v>46</v>
      </c>
      <c r="I609" s="269"/>
      <c r="J609" s="214">
        <v>0</v>
      </c>
      <c r="K609" s="162"/>
      <c r="L609" s="162"/>
      <c r="M609" s="162"/>
      <c r="N609" s="162"/>
      <c r="O609" s="162"/>
      <c r="P609" s="162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69"/>
      <c r="J610" s="214">
        <v>0</v>
      </c>
      <c r="K610" s="162"/>
      <c r="L610" s="162"/>
      <c r="M610" s="162"/>
      <c r="N610" s="162"/>
      <c r="O610" s="162"/>
      <c r="P610" s="162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261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262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>J614+J616</f>
        <v>0</v>
      </c>
      <c r="K612" s="712">
        <f>IF(I612&gt;0,J612*100/I612,0)</f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263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>J615+J617</f>
        <v>0</v>
      </c>
      <c r="K613" s="712">
        <f>IF(I613&gt;0,J613*100/I613,0)</f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264</v>
      </c>
      <c r="E614" s="611"/>
      <c r="F614" s="715"/>
      <c r="G614" s="365"/>
      <c r="H614" s="369" t="s">
        <v>46</v>
      </c>
      <c r="I614" s="612"/>
      <c r="J614" s="612">
        <v>0</v>
      </c>
      <c r="K614" s="166"/>
      <c r="L614" s="166"/>
      <c r="M614" s="166"/>
      <c r="N614" s="166"/>
      <c r="O614" s="166"/>
      <c r="P614" s="166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5"/>
      <c r="H615" s="369" t="s">
        <v>34</v>
      </c>
      <c r="I615" s="612"/>
      <c r="J615" s="612">
        <v>0</v>
      </c>
      <c r="K615" s="166"/>
      <c r="L615" s="166"/>
      <c r="M615" s="166"/>
      <c r="N615" s="166"/>
      <c r="O615" s="166"/>
      <c r="P615" s="166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264</v>
      </c>
      <c r="E616" s="715"/>
      <c r="F616" s="715"/>
      <c r="G616" s="365"/>
      <c r="H616" s="369" t="s">
        <v>46</v>
      </c>
      <c r="I616" s="612"/>
      <c r="J616" s="612">
        <v>0</v>
      </c>
      <c r="K616" s="166"/>
      <c r="L616" s="166"/>
      <c r="M616" s="166"/>
      <c r="N616" s="166"/>
      <c r="O616" s="166"/>
      <c r="P616" s="166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5"/>
      <c r="H617" s="369" t="s">
        <v>34</v>
      </c>
      <c r="I617" s="612"/>
      <c r="J617" s="612">
        <v>0</v>
      </c>
      <c r="K617" s="166"/>
      <c r="L617" s="166"/>
      <c r="M617" s="166"/>
      <c r="N617" s="166"/>
      <c r="O617" s="166"/>
      <c r="P617" s="166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265</v>
      </c>
      <c r="E618" s="715"/>
      <c r="F618" s="715"/>
      <c r="G618" s="365"/>
      <c r="H618" s="369" t="s">
        <v>46</v>
      </c>
      <c r="I618" s="612"/>
      <c r="J618" s="612">
        <v>0</v>
      </c>
      <c r="K618" s="166"/>
      <c r="L618" s="166"/>
      <c r="M618" s="166"/>
      <c r="N618" s="166"/>
      <c r="O618" s="166"/>
      <c r="P618" s="166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5"/>
      <c r="H619" s="369" t="s">
        <v>34</v>
      </c>
      <c r="I619" s="612"/>
      <c r="J619" s="612">
        <v>0</v>
      </c>
      <c r="K619" s="166"/>
      <c r="L619" s="166"/>
      <c r="M619" s="166"/>
      <c r="N619" s="166"/>
      <c r="O619" s="166"/>
      <c r="P619" s="166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266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>J622+J624+J626</f>
        <v>0</v>
      </c>
      <c r="K620" s="724">
        <f ca="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267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>J623+J625+J627</f>
        <v>0</v>
      </c>
      <c r="K621" s="724">
        <f ca="1">IF(I621&gt;0,J621*100/I621,0)</f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268</v>
      </c>
      <c r="E622" s="621"/>
      <c r="F622" s="621"/>
      <c r="G622" s="757"/>
      <c r="H622" s="759" t="s">
        <v>46</v>
      </c>
      <c r="I622" s="269"/>
      <c r="J622" s="214">
        <v>0</v>
      </c>
      <c r="K622" s="162"/>
      <c r="L622" s="162"/>
      <c r="M622" s="162"/>
      <c r="N622" s="162"/>
      <c r="O622" s="162"/>
      <c r="P622" s="162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69"/>
      <c r="J623" s="214">
        <v>0</v>
      </c>
      <c r="K623" s="162"/>
      <c r="L623" s="162"/>
      <c r="M623" s="162"/>
      <c r="N623" s="162"/>
      <c r="O623" s="162"/>
      <c r="P623" s="162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264</v>
      </c>
      <c r="E624" s="621"/>
      <c r="F624" s="621"/>
      <c r="G624" s="757"/>
      <c r="H624" s="759" t="s">
        <v>46</v>
      </c>
      <c r="I624" s="269"/>
      <c r="J624" s="214">
        <v>0</v>
      </c>
      <c r="K624" s="162"/>
      <c r="L624" s="162"/>
      <c r="M624" s="162"/>
      <c r="N624" s="162"/>
      <c r="O624" s="162"/>
      <c r="P624" s="162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69"/>
      <c r="J625" s="214">
        <v>0</v>
      </c>
      <c r="K625" s="162"/>
      <c r="L625" s="162"/>
      <c r="M625" s="162"/>
      <c r="N625" s="162"/>
      <c r="O625" s="162"/>
      <c r="P625" s="162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269</v>
      </c>
      <c r="E626" s="621"/>
      <c r="F626" s="621"/>
      <c r="G626" s="757"/>
      <c r="H626" s="759" t="s">
        <v>46</v>
      </c>
      <c r="I626" s="269"/>
      <c r="J626" s="214">
        <v>0</v>
      </c>
      <c r="K626" s="162"/>
      <c r="L626" s="162"/>
      <c r="M626" s="162"/>
      <c r="N626" s="162"/>
      <c r="O626" s="162"/>
      <c r="P626" s="162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1" t="s">
        <v>34</v>
      </c>
      <c r="I627" s="501"/>
      <c r="J627" s="423">
        <v>0</v>
      </c>
      <c r="K627" s="384"/>
      <c r="L627" s="384"/>
      <c r="M627" s="384"/>
      <c r="N627" s="384"/>
      <c r="O627" s="384"/>
      <c r="P627" s="384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270</v>
      </c>
      <c r="C628" s="733"/>
      <c r="D628" s="733"/>
      <c r="E628" s="733"/>
      <c r="F628" s="733"/>
      <c r="G628" s="734"/>
      <c r="H628" s="735" t="s">
        <v>35</v>
      </c>
      <c r="I628" s="736">
        <f ca="1">I651</f>
        <v>0</v>
      </c>
      <c r="J628" s="736">
        <f ca="1">J651</f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86" t="s">
        <v>17</v>
      </c>
      <c r="E629" s="887"/>
      <c r="F629" s="887"/>
      <c r="G629" s="188"/>
      <c r="H629" s="593" t="s">
        <v>12</v>
      </c>
      <c r="I629" s="269"/>
      <c r="J629" s="269"/>
      <c r="K629" s="497"/>
      <c r="L629" s="194">
        <f ca="1">L630+L631</f>
        <v>0</v>
      </c>
      <c r="M629" s="194">
        <f>M630+M631</f>
        <v>0</v>
      </c>
      <c r="N629" s="194">
        <f>N630+N631</f>
        <v>0</v>
      </c>
      <c r="O629" s="194">
        <f t="shared" ref="O629:O634" ca="1" si="90">IF(L629&gt;0,N629*100/L629,0)</f>
        <v>0</v>
      </c>
      <c r="P629" s="194">
        <f t="shared" ref="P629:P634" si="91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184</v>
      </c>
      <c r="F630" s="754"/>
      <c r="G630" s="598"/>
      <c r="H630" s="164" t="s">
        <v>12</v>
      </c>
      <c r="I630" s="612"/>
      <c r="J630" s="612"/>
      <c r="K630" s="92"/>
      <c r="L630" s="92">
        <f t="shared" ref="L630:N631" si="92">L633+L640</f>
        <v>0</v>
      </c>
      <c r="M630" s="92">
        <f t="shared" si="92"/>
        <v>0</v>
      </c>
      <c r="N630" s="92">
        <f t="shared" si="92"/>
        <v>0</v>
      </c>
      <c r="O630" s="92">
        <f t="shared" si="90"/>
        <v>0</v>
      </c>
      <c r="P630" s="92">
        <f t="shared" si="91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185</v>
      </c>
      <c r="F631" s="754"/>
      <c r="G631" s="598"/>
      <c r="H631" s="164" t="s">
        <v>12</v>
      </c>
      <c r="I631" s="612"/>
      <c r="J631" s="612"/>
      <c r="K631" s="92"/>
      <c r="L631" s="92">
        <f t="shared" ca="1" si="92"/>
        <v>0</v>
      </c>
      <c r="M631" s="92">
        <f t="shared" si="92"/>
        <v>0</v>
      </c>
      <c r="N631" s="92">
        <f t="shared" si="92"/>
        <v>0</v>
      </c>
      <c r="O631" s="92">
        <f t="shared" ca="1" si="90"/>
        <v>0</v>
      </c>
      <c r="P631" s="92">
        <f t="shared" si="91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8"/>
      <c r="H632" s="160" t="s">
        <v>12</v>
      </c>
      <c r="I632" s="183"/>
      <c r="J632" s="183"/>
      <c r="K632" s="162"/>
      <c r="L632" s="497">
        <f ca="1">L633+L634</f>
        <v>0</v>
      </c>
      <c r="M632" s="497">
        <f>M633+M634</f>
        <v>0</v>
      </c>
      <c r="N632" s="497">
        <f>N633+N634</f>
        <v>0</v>
      </c>
      <c r="O632" s="497">
        <f t="shared" ca="1" si="90"/>
        <v>0</v>
      </c>
      <c r="P632" s="497">
        <f t="shared" si="91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184</v>
      </c>
      <c r="F633" s="754"/>
      <c r="G633" s="598"/>
      <c r="H633" s="164" t="s">
        <v>12</v>
      </c>
      <c r="I633" s="612"/>
      <c r="J633" s="612"/>
      <c r="K633" s="92"/>
      <c r="L633" s="92">
        <v>0</v>
      </c>
      <c r="M633" s="92">
        <v>0</v>
      </c>
      <c r="N633" s="92">
        <v>0</v>
      </c>
      <c r="O633" s="92">
        <f t="shared" si="90"/>
        <v>0</v>
      </c>
      <c r="P633" s="92">
        <f t="shared" si="91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185</v>
      </c>
      <c r="F634" s="754"/>
      <c r="G634" s="598"/>
      <c r="H634" s="164" t="s">
        <v>12</v>
      </c>
      <c r="I634" s="612"/>
      <c r="J634" s="612"/>
      <c r="K634" s="92"/>
      <c r="L634" s="92">
        <f ca="1">IFERROR(__xludf.DUMMYFUNCTION("IMPORTRANGE(""https://docs.google.com/spreadsheets/d/1QqKyyYR6Q21VydFLVH3TRQUabQu_ym0Zz7PgGX0-kHA/edit?usp=sharing"",""แผน!HN60"")"),0)</f>
        <v>0</v>
      </c>
      <c r="M634" s="92">
        <v>0</v>
      </c>
      <c r="N634" s="92">
        <f>N635+N636+N637+N638</f>
        <v>0</v>
      </c>
      <c r="O634" s="92">
        <f t="shared" ca="1" si="90"/>
        <v>0</v>
      </c>
      <c r="P634" s="92">
        <f t="shared" si="91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186</v>
      </c>
      <c r="G635" s="188"/>
      <c r="H635" s="160" t="s">
        <v>12</v>
      </c>
      <c r="I635" s="269"/>
      <c r="J635" s="269"/>
      <c r="K635" s="497"/>
      <c r="L635" s="497"/>
      <c r="M635" s="497"/>
      <c r="N635" s="283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187</v>
      </c>
      <c r="G636" s="188"/>
      <c r="H636" s="160" t="s">
        <v>12</v>
      </c>
      <c r="I636" s="269"/>
      <c r="J636" s="269"/>
      <c r="K636" s="497"/>
      <c r="L636" s="497"/>
      <c r="M636" s="497"/>
      <c r="N636" s="283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188</v>
      </c>
      <c r="G637" s="188"/>
      <c r="H637" s="160" t="s">
        <v>12</v>
      </c>
      <c r="I637" s="269"/>
      <c r="J637" s="269"/>
      <c r="K637" s="497"/>
      <c r="L637" s="497"/>
      <c r="M637" s="497"/>
      <c r="N637" s="283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189</v>
      </c>
      <c r="G638" s="188"/>
      <c r="H638" s="160" t="s">
        <v>12</v>
      </c>
      <c r="I638" s="269"/>
      <c r="J638" s="269"/>
      <c r="K638" s="497"/>
      <c r="L638" s="497"/>
      <c r="M638" s="497"/>
      <c r="N638" s="283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8"/>
      <c r="H639" s="167" t="s">
        <v>12</v>
      </c>
      <c r="I639" s="183"/>
      <c r="J639" s="183"/>
      <c r="K639" s="162"/>
      <c r="L639" s="497">
        <f ca="1">L640+L641</f>
        <v>0</v>
      </c>
      <c r="M639" s="497">
        <f>M640+M641</f>
        <v>0</v>
      </c>
      <c r="N639" s="497">
        <f>N640+N641</f>
        <v>0</v>
      </c>
      <c r="O639" s="497">
        <f ca="1">IF(L639&gt;0,N639*100/L639,0)</f>
        <v>0</v>
      </c>
      <c r="P639" s="497">
        <f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4" t="s">
        <v>12</v>
      </c>
      <c r="I640" s="165"/>
      <c r="J640" s="165"/>
      <c r="K640" s="166"/>
      <c r="L640" s="92">
        <v>0</v>
      </c>
      <c r="M640" s="92">
        <v>0</v>
      </c>
      <c r="N640" s="92">
        <v>0</v>
      </c>
      <c r="O640" s="92">
        <f>IF(L640&gt;0,N640*100/L640,0)</f>
        <v>0</v>
      </c>
      <c r="P640" s="92">
        <f>IF(M640&gt;0,N640*100/M640,0)</f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8" t="s">
        <v>12</v>
      </c>
      <c r="I641" s="165"/>
      <c r="J641" s="165"/>
      <c r="K641" s="166"/>
      <c r="L641" s="92">
        <f ca="1">IFERROR(__xludf.DUMMYFUNCTION("IMPORTRANGE(""https://docs.google.com/spreadsheets/d/1QqKyyYR6Q21VydFLVH3TRQUabQu_ym0Zz7PgGX0-kHA/edit?usp=sharing"",""แผน!HQ60"")"),0)</f>
        <v>0</v>
      </c>
      <c r="M641" s="92">
        <v>0</v>
      </c>
      <c r="N641" s="92">
        <v>0</v>
      </c>
      <c r="O641" s="92">
        <f ca="1">IF(L641&gt;0,N641*100/L641,0)</f>
        <v>0</v>
      </c>
      <c r="P641" s="92">
        <f>IF(M641&gt;0,N641*100/M641,0)</f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50" t="s">
        <v>38</v>
      </c>
      <c r="E642" s="756"/>
      <c r="F642" s="756"/>
      <c r="G642" s="608"/>
      <c r="H642" s="757"/>
      <c r="I642" s="183"/>
      <c r="J642" s="183"/>
      <c r="K642" s="162"/>
      <c r="L642" s="162"/>
      <c r="M642" s="162"/>
      <c r="N642" s="162"/>
      <c r="O642" s="162"/>
      <c r="P642" s="162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271</v>
      </c>
      <c r="F643" s="621"/>
      <c r="G643" s="757"/>
      <c r="H643" s="759" t="s">
        <v>272</v>
      </c>
      <c r="I643" s="269">
        <f ca="1">IFERROR(__xludf.DUMMYFUNCTION("IMPORTRANGE(""https://docs.google.com/spreadsheets/d/1QqKyyYR6Q21VydFLVH3TRQUabQu_ym0Zz7PgGX0-kHA/edit?usp=sharing"",""แผน!HR60"")"),0)</f>
        <v>0</v>
      </c>
      <c r="J643" s="214">
        <v>0</v>
      </c>
      <c r="K643" s="162">
        <f t="shared" ref="K643:K652" ca="1" si="93">IF(I643&gt;0,J643*100/I643,0)</f>
        <v>0</v>
      </c>
      <c r="L643" s="162"/>
      <c r="M643" s="162"/>
      <c r="N643" s="497"/>
      <c r="O643" s="162"/>
      <c r="P643" s="162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273</v>
      </c>
      <c r="F644" s="621"/>
      <c r="G644" s="757"/>
      <c r="H644" s="759" t="s">
        <v>274</v>
      </c>
      <c r="I644" s="269">
        <f ca="1">IFERROR(__xludf.DUMMYFUNCTION("IMPORTRANGE(""https://docs.google.com/spreadsheets/d/1QqKyyYR6Q21VydFLVH3TRQUabQu_ym0Zz7PgGX0-kHA/edit?usp=sharing"",""แผน!HR60"")"),0)</f>
        <v>0</v>
      </c>
      <c r="J644" s="214">
        <v>0</v>
      </c>
      <c r="K644" s="162">
        <f t="shared" ca="1" si="93"/>
        <v>0</v>
      </c>
      <c r="L644" s="162"/>
      <c r="M644" s="162"/>
      <c r="N644" s="497"/>
      <c r="O644" s="162"/>
      <c r="P644" s="162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275</v>
      </c>
      <c r="F645" s="621"/>
      <c r="G645" s="757"/>
      <c r="H645" s="759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IFERROR(__xludf.DUMMYFUNCTION("IMPORTRANGE(""https://docs.google.com/spreadsheets/d/1XWAQStnk-4SwqDmLtmXYiTMKHgktTP8We1SCoS47DrQ/edit?usp=sharing"",""จัดที่ดิน!AS60"")"),0)</f>
        <v>0</v>
      </c>
      <c r="K645" s="162">
        <f t="shared" si="93"/>
        <v>0</v>
      </c>
      <c r="L645" s="162"/>
      <c r="M645" s="162"/>
      <c r="N645" s="497"/>
      <c r="O645" s="162"/>
      <c r="P645" s="162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93"/>
        <v>0</v>
      </c>
      <c r="L646" s="162"/>
      <c r="M646" s="162"/>
      <c r="N646" s="497"/>
      <c r="O646" s="162"/>
      <c r="P646" s="162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69">
        <f ca="1">IFERROR(__xludf.DUMMYFUNCTION("IMPORTRANGE(""https://docs.google.com/spreadsheets/d/1QqKyyYR6Q21VydFLVH3TRQUabQu_ym0Zz7PgGX0-kHA/edit?usp=sharing"",""แผน!HS60"")"),0)</f>
        <v>0</v>
      </c>
      <c r="J647" s="269">
        <f ca="1">IFERROR(__xludf.DUMMYFUNCTION("IMPORTRANGE(""https://docs.google.com/spreadsheets/d/1XWAQStnk-4SwqDmLtmXYiTMKHgktTP8We1SCoS47DrQ/edit?usp=sharing"",""จัดที่ดิน!AU60"")"),0)</f>
        <v>0</v>
      </c>
      <c r="K647" s="162">
        <f t="shared" ca="1" si="93"/>
        <v>0</v>
      </c>
      <c r="L647" s="162"/>
      <c r="M647" s="162"/>
      <c r="N647" s="162"/>
      <c r="O647" s="162"/>
      <c r="P647" s="162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93"/>
        <v>0</v>
      </c>
      <c r="L648" s="162"/>
      <c r="M648" s="162"/>
      <c r="N648" s="162"/>
      <c r="O648" s="162"/>
      <c r="P648" s="162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276</v>
      </c>
      <c r="F649" s="621"/>
      <c r="G649" s="757"/>
      <c r="H649" s="759" t="s">
        <v>35</v>
      </c>
      <c r="I649" s="269">
        <f ca="1">IFERROR(__xludf.DUMMYFUNCTION("IMPORTRANGE(""https://docs.google.com/spreadsheets/d/1QqKyyYR6Q21VydFLVH3TRQUabQu_ym0Zz7PgGX0-kHA/edit?usp=sharing"",""แผน!HS60"")"),0)</f>
        <v>0</v>
      </c>
      <c r="J649" s="269">
        <f ca="1">IFERROR(__xludf.DUMMYFUNCTION("IMPORTRANGE(""https://docs.google.com/spreadsheets/d/1XWAQStnk-4SwqDmLtmXYiTMKHgktTP8We1SCoS47DrQ/edit?usp=sharing"",""จัดที่ดิน!AW60"")"),0)</f>
        <v>0</v>
      </c>
      <c r="K649" s="162">
        <f t="shared" ca="1" si="93"/>
        <v>0</v>
      </c>
      <c r="L649" s="162"/>
      <c r="M649" s="162"/>
      <c r="N649" s="162"/>
      <c r="O649" s="162"/>
      <c r="P649" s="162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93"/>
        <v>0</v>
      </c>
      <c r="L650" s="162"/>
      <c r="M650" s="162"/>
      <c r="N650" s="162"/>
      <c r="O650" s="162"/>
      <c r="P650" s="162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277</v>
      </c>
      <c r="F651" s="621"/>
      <c r="G651" s="757"/>
      <c r="H651" s="759" t="s">
        <v>35</v>
      </c>
      <c r="I651" s="269">
        <f ca="1">IFERROR(__xludf.DUMMYFUNCTION("IMPORTRANGE(""https://docs.google.com/spreadsheets/d/1QqKyyYR6Q21VydFLVH3TRQUabQu_ym0Zz7PgGX0-kHA/edit?usp=sharing"",""แผน!HS60"")"),0)</f>
        <v>0</v>
      </c>
      <c r="J651" s="269">
        <f ca="1">IFERROR(__xludf.DUMMYFUNCTION("IMPORTRANGE(""https://docs.google.com/spreadsheets/d/1XWAQStnk-4SwqDmLtmXYiTMKHgktTP8We1SCoS47DrQ/edit?usp=sharing"",""จัดที่ดิน!AY60"")"),0)</f>
        <v>0</v>
      </c>
      <c r="K651" s="162">
        <f t="shared" ca="1" si="93"/>
        <v>0</v>
      </c>
      <c r="L651" s="162"/>
      <c r="M651" s="162"/>
      <c r="N651" s="162"/>
      <c r="O651" s="162"/>
      <c r="P651" s="162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837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93"/>
        <v>0</v>
      </c>
      <c r="L652" s="384"/>
      <c r="M652" s="384"/>
      <c r="N652" s="384"/>
      <c r="O652" s="384"/>
      <c r="P652" s="384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278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2" t="s">
        <v>46</v>
      </c>
      <c r="I654" s="703">
        <f ca="1">I669</f>
        <v>0</v>
      </c>
      <c r="J654" s="703">
        <f>J669</f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86" t="s">
        <v>17</v>
      </c>
      <c r="E655" s="887"/>
      <c r="F655" s="887"/>
      <c r="G655" s="188"/>
      <c r="H655" s="593" t="s">
        <v>12</v>
      </c>
      <c r="I655" s="269"/>
      <c r="J655" s="269"/>
      <c r="K655" s="497"/>
      <c r="L655" s="194">
        <f ca="1">L656+L657</f>
        <v>0</v>
      </c>
      <c r="M655" s="194">
        <f>M656+M657</f>
        <v>0</v>
      </c>
      <c r="N655" s="194">
        <f>N656+N657</f>
        <v>0</v>
      </c>
      <c r="O655" s="194">
        <f t="shared" ref="O655:O660" ca="1" si="94">IF(L655&gt;0,N655*100/L655,0)</f>
        <v>0</v>
      </c>
      <c r="P655" s="194">
        <f t="shared" ref="P655:P660" si="9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184</v>
      </c>
      <c r="F656" s="754"/>
      <c r="G656" s="598"/>
      <c r="H656" s="164" t="s">
        <v>12</v>
      </c>
      <c r="I656" s="612"/>
      <c r="J656" s="612"/>
      <c r="K656" s="92"/>
      <c r="L656" s="92">
        <f t="shared" ref="L656:N657" si="96">L659+L666</f>
        <v>0</v>
      </c>
      <c r="M656" s="92">
        <f t="shared" si="96"/>
        <v>0</v>
      </c>
      <c r="N656" s="92">
        <f t="shared" si="96"/>
        <v>0</v>
      </c>
      <c r="O656" s="92">
        <f t="shared" si="94"/>
        <v>0</v>
      </c>
      <c r="P656" s="92">
        <f t="shared" si="9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185</v>
      </c>
      <c r="F657" s="754"/>
      <c r="G657" s="598"/>
      <c r="H657" s="164" t="s">
        <v>12</v>
      </c>
      <c r="I657" s="612"/>
      <c r="J657" s="612"/>
      <c r="K657" s="92"/>
      <c r="L657" s="92">
        <f t="shared" ca="1" si="96"/>
        <v>0</v>
      </c>
      <c r="M657" s="92">
        <f t="shared" si="96"/>
        <v>0</v>
      </c>
      <c r="N657" s="92">
        <f t="shared" si="96"/>
        <v>0</v>
      </c>
      <c r="O657" s="92">
        <f t="shared" ca="1" si="94"/>
        <v>0</v>
      </c>
      <c r="P657" s="92">
        <f t="shared" si="9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8"/>
      <c r="H658" s="160" t="s">
        <v>12</v>
      </c>
      <c r="I658" s="183"/>
      <c r="J658" s="183"/>
      <c r="K658" s="162"/>
      <c r="L658" s="497">
        <f ca="1">L659+L660</f>
        <v>0</v>
      </c>
      <c r="M658" s="497">
        <f>M659+M660</f>
        <v>0</v>
      </c>
      <c r="N658" s="497">
        <f>N659+N660</f>
        <v>0</v>
      </c>
      <c r="O658" s="497">
        <f t="shared" ca="1" si="94"/>
        <v>0</v>
      </c>
      <c r="P658" s="497">
        <f t="shared" si="9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184</v>
      </c>
      <c r="F659" s="754"/>
      <c r="G659" s="598"/>
      <c r="H659" s="164" t="s">
        <v>12</v>
      </c>
      <c r="I659" s="612"/>
      <c r="J659" s="612"/>
      <c r="K659" s="92"/>
      <c r="L659" s="92">
        <v>0</v>
      </c>
      <c r="M659" s="92">
        <v>0</v>
      </c>
      <c r="N659" s="92">
        <v>0</v>
      </c>
      <c r="O659" s="92">
        <f t="shared" si="94"/>
        <v>0</v>
      </c>
      <c r="P659" s="92">
        <f t="shared" si="9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185</v>
      </c>
      <c r="F660" s="754"/>
      <c r="G660" s="598"/>
      <c r="H660" s="164" t="s">
        <v>12</v>
      </c>
      <c r="I660" s="612"/>
      <c r="J660" s="612"/>
      <c r="K660" s="92"/>
      <c r="L660" s="92">
        <f ca="1">IFERROR(__xludf.DUMMYFUNCTION("IMPORTRANGE(""https://docs.google.com/spreadsheets/d/1QqKyyYR6Q21VydFLVH3TRQUabQu_ym0Zz7PgGX0-kHA/edit?usp=sharing"",""แผน!HV60"")"),0)</f>
        <v>0</v>
      </c>
      <c r="M660" s="92">
        <v>0</v>
      </c>
      <c r="N660" s="92">
        <f>N661+N662+N663+N664</f>
        <v>0</v>
      </c>
      <c r="O660" s="92">
        <f t="shared" ca="1" si="94"/>
        <v>0</v>
      </c>
      <c r="P660" s="92">
        <f t="shared" si="9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186</v>
      </c>
      <c r="G661" s="188"/>
      <c r="H661" s="160" t="s">
        <v>12</v>
      </c>
      <c r="I661" s="269"/>
      <c r="J661" s="269"/>
      <c r="K661" s="497"/>
      <c r="L661" s="497"/>
      <c r="M661" s="497"/>
      <c r="N661" s="283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187</v>
      </c>
      <c r="G662" s="188"/>
      <c r="H662" s="160" t="s">
        <v>12</v>
      </c>
      <c r="I662" s="269"/>
      <c r="J662" s="269"/>
      <c r="K662" s="497"/>
      <c r="L662" s="497"/>
      <c r="M662" s="497"/>
      <c r="N662" s="283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188</v>
      </c>
      <c r="G663" s="188"/>
      <c r="H663" s="160" t="s">
        <v>12</v>
      </c>
      <c r="I663" s="269"/>
      <c r="J663" s="269"/>
      <c r="K663" s="497"/>
      <c r="L663" s="497"/>
      <c r="M663" s="497"/>
      <c r="N663" s="283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189</v>
      </c>
      <c r="G664" s="188"/>
      <c r="H664" s="160" t="s">
        <v>12</v>
      </c>
      <c r="I664" s="269"/>
      <c r="J664" s="269"/>
      <c r="K664" s="497"/>
      <c r="L664" s="497"/>
      <c r="M664" s="497"/>
      <c r="N664" s="283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8"/>
      <c r="H665" s="167" t="s">
        <v>12</v>
      </c>
      <c r="I665" s="183"/>
      <c r="J665" s="183"/>
      <c r="K665" s="162"/>
      <c r="L665" s="497">
        <f>L666+L667</f>
        <v>0</v>
      </c>
      <c r="M665" s="497">
        <f>M666+M667</f>
        <v>0</v>
      </c>
      <c r="N665" s="497">
        <f>N666+N667</f>
        <v>0</v>
      </c>
      <c r="O665" s="497">
        <f>IF(L665&gt;0,N665*100/L665,0)</f>
        <v>0</v>
      </c>
      <c r="P665" s="497">
        <f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4" t="s">
        <v>12</v>
      </c>
      <c r="I666" s="165"/>
      <c r="J666" s="165"/>
      <c r="K666" s="166"/>
      <c r="L666" s="92">
        <v>0</v>
      </c>
      <c r="M666" s="92">
        <v>0</v>
      </c>
      <c r="N666" s="92">
        <v>0</v>
      </c>
      <c r="O666" s="92">
        <f>IF(L666&gt;0,N666*100/L666,0)</f>
        <v>0</v>
      </c>
      <c r="P666" s="92">
        <f>IF(M666&gt;0,N666*100/M666,0)</f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8" t="s">
        <v>12</v>
      </c>
      <c r="I667" s="165"/>
      <c r="J667" s="165"/>
      <c r="K667" s="166"/>
      <c r="L667" s="92">
        <v>0</v>
      </c>
      <c r="M667" s="92">
        <v>0</v>
      </c>
      <c r="N667" s="92">
        <v>0</v>
      </c>
      <c r="O667" s="92">
        <f>IF(L667&gt;0,N667*100/L667,0)</f>
        <v>0</v>
      </c>
      <c r="P667" s="92">
        <f>IF(M667&gt;0,N667*100/M667,0)</f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49" t="s">
        <v>38</v>
      </c>
      <c r="E668" s="756"/>
      <c r="F668" s="756"/>
      <c r="G668" s="608"/>
      <c r="H668" s="757"/>
      <c r="I668" s="183"/>
      <c r="J668" s="183"/>
      <c r="K668" s="162"/>
      <c r="L668" s="162"/>
      <c r="M668" s="162"/>
      <c r="N668" s="162"/>
      <c r="O668" s="162"/>
      <c r="P668" s="162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4">
        <f ca="1">IF(I669&gt;0,J669*100/I669,0)</f>
        <v>0</v>
      </c>
      <c r="L669" s="162"/>
      <c r="M669" s="162"/>
      <c r="N669" s="162"/>
      <c r="O669" s="162"/>
      <c r="P669" s="162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7"/>
      <c r="H670" s="759" t="s">
        <v>66</v>
      </c>
      <c r="I670" s="269">
        <f ca="1">IFERROR(__xludf.DUMMYFUNCTION("IMPORTRANGE(""https://docs.google.com/spreadsheets/d/1QqKyyYR6Q21VydFLVH3TRQUabQu_ym0Zz7PgGX0-kHA/edit?usp=sharing"",""แผน!HZ60"")"),0)</f>
        <v>0</v>
      </c>
      <c r="J670" s="214">
        <v>0</v>
      </c>
      <c r="K670" s="497">
        <f ca="1">IF(I670&gt;0,(J670*100)/I670,0)</f>
        <v>0</v>
      </c>
      <c r="L670" s="162"/>
      <c r="M670" s="162"/>
      <c r="N670" s="162"/>
      <c r="O670" s="162"/>
      <c r="P670" s="162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7"/>
      <c r="H671" s="759" t="s">
        <v>66</v>
      </c>
      <c r="I671" s="269">
        <f ca="1">IFERROR(__xludf.DUMMYFUNCTION("IMPORTRANGE(""https://docs.google.com/spreadsheets/d/1QqKyyYR6Q21VydFLVH3TRQUabQu_ym0Zz7PgGX0-kHA/edit?usp=sharing"",""แผน!HZ60"")"),0)</f>
        <v>0</v>
      </c>
      <c r="J671" s="214">
        <v>0</v>
      </c>
      <c r="K671" s="497">
        <f ca="1">IF(I$671&gt;0,J671*100/I$671,0)</f>
        <v>0</v>
      </c>
      <c r="L671" s="162"/>
      <c r="M671" s="162"/>
      <c r="N671" s="162"/>
      <c r="O671" s="162"/>
      <c r="P671" s="162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7"/>
      <c r="H672" s="759" t="s">
        <v>46</v>
      </c>
      <c r="I672" s="269"/>
      <c r="J672" s="214">
        <v>0</v>
      </c>
      <c r="K672" s="497">
        <f ca="1">IF(I$669&gt;0,J672*100/I$669,0)</f>
        <v>0</v>
      </c>
      <c r="L672" s="162"/>
      <c r="M672" s="162"/>
      <c r="N672" s="162"/>
      <c r="O672" s="162"/>
      <c r="P672" s="162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7"/>
      <c r="H673" s="759" t="s">
        <v>46</v>
      </c>
      <c r="I673" s="269"/>
      <c r="J673" s="214">
        <v>0</v>
      </c>
      <c r="K673" s="497">
        <f ca="1">IF(I$669&gt;0,J673*100/I$669,0)</f>
        <v>0</v>
      </c>
      <c r="L673" s="162"/>
      <c r="M673" s="162"/>
      <c r="N673" s="162"/>
      <c r="O673" s="162"/>
      <c r="P673" s="162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7"/>
      <c r="H674" s="759" t="s">
        <v>46</v>
      </c>
      <c r="I674" s="269"/>
      <c r="J674" s="214">
        <v>0</v>
      </c>
      <c r="K674" s="497">
        <f ca="1">IF(I$669&gt;0,J674*100/I$669,0)</f>
        <v>0</v>
      </c>
      <c r="L674" s="162"/>
      <c r="M674" s="162"/>
      <c r="N674" s="162"/>
      <c r="O674" s="162"/>
      <c r="P674" s="162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7"/>
      <c r="H675" s="759" t="s">
        <v>46</v>
      </c>
      <c r="I675" s="269"/>
      <c r="J675" s="676">
        <f>J676+J677</f>
        <v>0</v>
      </c>
      <c r="K675" s="194">
        <f ca="1">IF(I$669&gt;0,J675*100/I$669,0)</f>
        <v>0</v>
      </c>
      <c r="L675" s="162"/>
      <c r="M675" s="162"/>
      <c r="N675" s="162"/>
      <c r="O675" s="162"/>
      <c r="P675" s="162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7"/>
      <c r="H676" s="759" t="s">
        <v>46</v>
      </c>
      <c r="I676" s="269"/>
      <c r="J676" s="214">
        <v>0</v>
      </c>
      <c r="K676" s="497"/>
      <c r="L676" s="162"/>
      <c r="M676" s="162"/>
      <c r="N676" s="162"/>
      <c r="O676" s="162"/>
      <c r="P676" s="162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7"/>
      <c r="H677" s="759" t="s">
        <v>46</v>
      </c>
      <c r="I677" s="269"/>
      <c r="J677" s="214">
        <v>0</v>
      </c>
      <c r="K677" s="497"/>
      <c r="L677" s="162"/>
      <c r="M677" s="162"/>
      <c r="N677" s="162"/>
      <c r="O677" s="162"/>
      <c r="P677" s="162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4">
        <f ca="1">IF(I678&gt;0,J678*100/I678,0)</f>
        <v>0</v>
      </c>
      <c r="L678" s="162"/>
      <c r="M678" s="162"/>
      <c r="N678" s="162"/>
      <c r="O678" s="162"/>
      <c r="P678" s="162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7"/>
      <c r="H679" s="759" t="s">
        <v>46</v>
      </c>
      <c r="I679" s="269"/>
      <c r="J679" s="269">
        <f>J680+J681</f>
        <v>0</v>
      </c>
      <c r="K679" s="497"/>
      <c r="L679" s="162"/>
      <c r="M679" s="162"/>
      <c r="N679" s="162"/>
      <c r="O679" s="162"/>
      <c r="P679" s="162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7"/>
      <c r="H680" s="759" t="s">
        <v>46</v>
      </c>
      <c r="I680" s="269"/>
      <c r="J680" s="214">
        <v>0</v>
      </c>
      <c r="K680" s="497"/>
      <c r="L680" s="162"/>
      <c r="M680" s="162"/>
      <c r="N680" s="162"/>
      <c r="O680" s="162"/>
      <c r="P680" s="162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7"/>
      <c r="H681" s="759" t="s">
        <v>46</v>
      </c>
      <c r="I681" s="269"/>
      <c r="J681" s="214">
        <v>0</v>
      </c>
      <c r="K681" s="497"/>
      <c r="L681" s="162"/>
      <c r="M681" s="162"/>
      <c r="N681" s="162"/>
      <c r="O681" s="162"/>
      <c r="P681" s="162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7"/>
      <c r="H682" s="759" t="s">
        <v>46</v>
      </c>
      <c r="I682" s="269"/>
      <c r="J682" s="214">
        <v>0</v>
      </c>
      <c r="K682" s="497"/>
      <c r="L682" s="162"/>
      <c r="M682" s="162"/>
      <c r="N682" s="162"/>
      <c r="O682" s="162"/>
      <c r="P682" s="162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7"/>
      <c r="H683" s="759" t="s">
        <v>46</v>
      </c>
      <c r="I683" s="269"/>
      <c r="J683" s="214">
        <v>0</v>
      </c>
      <c r="K683" s="497"/>
      <c r="L683" s="162"/>
      <c r="M683" s="162"/>
      <c r="N683" s="162"/>
      <c r="O683" s="162"/>
      <c r="P683" s="162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293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86" t="s">
        <v>17</v>
      </c>
      <c r="E685" s="887"/>
      <c r="F685" s="887"/>
      <c r="G685" s="188"/>
      <c r="H685" s="593" t="s">
        <v>12</v>
      </c>
      <c r="I685" s="269"/>
      <c r="J685" s="269"/>
      <c r="K685" s="497"/>
      <c r="L685" s="194">
        <f ca="1">L686+L687</f>
        <v>4380</v>
      </c>
      <c r="M685" s="194">
        <f ca="1">M686+M687</f>
        <v>4380</v>
      </c>
      <c r="N685" s="194">
        <f>N686+N687</f>
        <v>4380</v>
      </c>
      <c r="O685" s="194">
        <f ca="1">IF(L685&gt;0,N685*100/L685,0)</f>
        <v>100</v>
      </c>
      <c r="P685" s="194">
        <f ca="1">IF(M685&gt;0,N685*100/M685,0)</f>
        <v>100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184</v>
      </c>
      <c r="F686" s="754"/>
      <c r="G686" s="598"/>
      <c r="H686" s="164" t="s">
        <v>12</v>
      </c>
      <c r="I686" s="612"/>
      <c r="J686" s="612"/>
      <c r="K686" s="92"/>
      <c r="L686" s="92">
        <f t="shared" ref="L686:N687" si="97">L689+L696</f>
        <v>0</v>
      </c>
      <c r="M686" s="92">
        <f t="shared" si="97"/>
        <v>0</v>
      </c>
      <c r="N686" s="92">
        <f t="shared" si="97"/>
        <v>0</v>
      </c>
      <c r="O686" s="92">
        <f>IF(L686&gt;0,N686*100/L686,0)</f>
        <v>0</v>
      </c>
      <c r="P686" s="92">
        <f>IF(M686&gt;0,N686*100/M686,0)</f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185</v>
      </c>
      <c r="F687" s="754"/>
      <c r="G687" s="598"/>
      <c r="H687" s="164" t="s">
        <v>12</v>
      </c>
      <c r="I687" s="612"/>
      <c r="J687" s="612"/>
      <c r="K687" s="92"/>
      <c r="L687" s="92">
        <f t="shared" ca="1" si="97"/>
        <v>4380</v>
      </c>
      <c r="M687" s="92">
        <f t="shared" ca="1" si="97"/>
        <v>4380</v>
      </c>
      <c r="N687" s="92">
        <f t="shared" si="97"/>
        <v>4380</v>
      </c>
      <c r="O687" s="92">
        <f ca="1">IF(L687&gt;0,N687*100/L687,0)</f>
        <v>100</v>
      </c>
      <c r="P687" s="92">
        <f ca="1">IF(M687&gt;0,N687*100/M687,0)</f>
        <v>100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8"/>
      <c r="H688" s="160" t="s">
        <v>12</v>
      </c>
      <c r="I688" s="183"/>
      <c r="J688" s="183"/>
      <c r="K688" s="162"/>
      <c r="L688" s="497">
        <f ca="1">L689+L690</f>
        <v>4380</v>
      </c>
      <c r="M688" s="497">
        <f ca="1">M689+M690</f>
        <v>4380</v>
      </c>
      <c r="N688" s="497">
        <f>N689+N690</f>
        <v>4380</v>
      </c>
      <c r="O688" s="497">
        <f ca="1">IF(L688&gt;0,N688*100/L688,0)</f>
        <v>100</v>
      </c>
      <c r="P688" s="497">
        <f ca="1">IF(M688&gt;0,N688*100/M688,0)</f>
        <v>100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184</v>
      </c>
      <c r="F689" s="754"/>
      <c r="G689" s="598"/>
      <c r="H689" s="164" t="s">
        <v>12</v>
      </c>
      <c r="I689" s="612"/>
      <c r="J689" s="612"/>
      <c r="K689" s="92"/>
      <c r="L689" s="92">
        <v>0</v>
      </c>
      <c r="M689" s="92">
        <v>0</v>
      </c>
      <c r="N689" s="92">
        <v>0</v>
      </c>
      <c r="O689" s="92"/>
      <c r="P689" s="92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185</v>
      </c>
      <c r="F690" s="754"/>
      <c r="G690" s="598"/>
      <c r="H690" s="164" t="s">
        <v>12</v>
      </c>
      <c r="I690" s="612"/>
      <c r="J690" s="612"/>
      <c r="K690" s="92"/>
      <c r="L690" s="92">
        <f ca="1">IFERROR(__xludf.DUMMYFUNCTION("IMPORTRANGE(""https://docs.google.com/spreadsheets/d/1QqKyyYR6Q21VydFLVH3TRQUabQu_ym0Zz7PgGX0-kHA/edit?usp=sharing"",""แผน!HW60"")"),4380)</f>
        <v>4380</v>
      </c>
      <c r="M690" s="92">
        <f ca="1">L690</f>
        <v>4380</v>
      </c>
      <c r="N690" s="92">
        <f>N691+N692+N693+N694</f>
        <v>4380</v>
      </c>
      <c r="O690" s="92">
        <f ca="1">IF(L690&gt;0,N690*100/L690,0)</f>
        <v>100</v>
      </c>
      <c r="P690" s="92">
        <f ca="1">IF(M690&gt;0,N690*100/M690,0)</f>
        <v>100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186</v>
      </c>
      <c r="G691" s="188"/>
      <c r="H691" s="160" t="s">
        <v>12</v>
      </c>
      <c r="I691" s="269"/>
      <c r="J691" s="269"/>
      <c r="K691" s="497"/>
      <c r="L691" s="497"/>
      <c r="M691" s="497"/>
      <c r="N691" s="283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187</v>
      </c>
      <c r="G692" s="188"/>
      <c r="H692" s="160" t="s">
        <v>12</v>
      </c>
      <c r="I692" s="269"/>
      <c r="J692" s="269"/>
      <c r="K692" s="497"/>
      <c r="L692" s="497"/>
      <c r="M692" s="497"/>
      <c r="N692" s="283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188</v>
      </c>
      <c r="G693" s="188"/>
      <c r="H693" s="160" t="s">
        <v>12</v>
      </c>
      <c r="I693" s="269"/>
      <c r="J693" s="269"/>
      <c r="K693" s="497"/>
      <c r="L693" s="497"/>
      <c r="M693" s="497"/>
      <c r="N693" s="283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189</v>
      </c>
      <c r="G694" s="188"/>
      <c r="H694" s="160" t="s">
        <v>12</v>
      </c>
      <c r="I694" s="269"/>
      <c r="J694" s="269"/>
      <c r="K694" s="497"/>
      <c r="L694" s="497"/>
      <c r="M694" s="497"/>
      <c r="N694" s="283">
        <v>4380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8"/>
      <c r="H695" s="167" t="s">
        <v>12</v>
      </c>
      <c r="I695" s="183"/>
      <c r="J695" s="183"/>
      <c r="K695" s="162"/>
      <c r="L695" s="497">
        <f>L696+L697</f>
        <v>0</v>
      </c>
      <c r="M695" s="497">
        <f>M696+M697</f>
        <v>0</v>
      </c>
      <c r="N695" s="497">
        <f>N696+N697</f>
        <v>0</v>
      </c>
      <c r="O695" s="497">
        <f>IF(L695&gt;0,N695*100/L695,0)</f>
        <v>0</v>
      </c>
      <c r="P695" s="497">
        <f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4" t="s">
        <v>12</v>
      </c>
      <c r="I696" s="165"/>
      <c r="J696" s="165"/>
      <c r="K696" s="166"/>
      <c r="L696" s="92">
        <v>0</v>
      </c>
      <c r="M696" s="92">
        <v>0</v>
      </c>
      <c r="N696" s="92">
        <v>0</v>
      </c>
      <c r="O696" s="92">
        <f>IF(L696&gt;0,N696*100/L696,0)</f>
        <v>0</v>
      </c>
      <c r="P696" s="92">
        <f>IF(M696&gt;0,N696*100/M696,0)</f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8" t="s">
        <v>12</v>
      </c>
      <c r="I697" s="165"/>
      <c r="J697" s="165"/>
      <c r="K697" s="166"/>
      <c r="L697" s="92">
        <v>0</v>
      </c>
      <c r="M697" s="92">
        <v>0</v>
      </c>
      <c r="N697" s="92">
        <v>0</v>
      </c>
      <c r="O697" s="92">
        <f>IF(L697&gt;0,N697*100/L697,0)</f>
        <v>0</v>
      </c>
      <c r="P697" s="92">
        <f>IF(M697&gt;0,N697*100/M697,0)</f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43" t="s">
        <v>38</v>
      </c>
      <c r="E698" s="756"/>
      <c r="F698" s="756"/>
      <c r="G698" s="608"/>
      <c r="H698" s="757"/>
      <c r="I698" s="183"/>
      <c r="J698" s="183"/>
      <c r="K698" s="162"/>
      <c r="L698" s="162"/>
      <c r="M698" s="162"/>
      <c r="N698" s="162"/>
      <c r="O698" s="162"/>
      <c r="P698" s="162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294</v>
      </c>
      <c r="E699" s="758"/>
      <c r="F699" s="758"/>
      <c r="G699" s="188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69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ca="1">IF(I699&gt;0,J699*100/I699,0)</f>
        <v>0</v>
      </c>
      <c r="L699" s="497"/>
      <c r="M699" s="188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295</v>
      </c>
      <c r="E700" s="758"/>
      <c r="F700" s="758"/>
      <c r="G700" s="188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69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ca="1">IF(I700&gt;0,J700*100/I700,0)</f>
        <v>0</v>
      </c>
      <c r="L700" s="497"/>
      <c r="M700" s="188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296</v>
      </c>
      <c r="E701" s="758"/>
      <c r="F701" s="758"/>
      <c r="G701" s="188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4">
        <f ca="1">IF(I701&gt;0,J701*100/I701,0)</f>
        <v>0</v>
      </c>
      <c r="L701" s="497"/>
      <c r="M701" s="188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297</v>
      </c>
      <c r="F702" s="758"/>
      <c r="G702" s="188"/>
      <c r="H702" s="759" t="s">
        <v>35</v>
      </c>
      <c r="I702" s="760"/>
      <c r="J702" s="214">
        <v>0</v>
      </c>
      <c r="K702" s="497"/>
      <c r="L702" s="497"/>
      <c r="M702" s="188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8"/>
      <c r="H703" s="759" t="s">
        <v>34</v>
      </c>
      <c r="I703" s="760"/>
      <c r="J703" s="214">
        <v>0</v>
      </c>
      <c r="K703" s="497"/>
      <c r="L703" s="497"/>
      <c r="M703" s="188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8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4">
        <v>0</v>
      </c>
      <c r="K704" s="497"/>
      <c r="L704" s="497"/>
      <c r="M704" s="188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298</v>
      </c>
      <c r="F705" s="758"/>
      <c r="G705" s="188"/>
      <c r="H705" s="759" t="s">
        <v>35</v>
      </c>
      <c r="I705" s="760"/>
      <c r="J705" s="214">
        <v>0</v>
      </c>
      <c r="K705" s="497"/>
      <c r="L705" s="497"/>
      <c r="M705" s="188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8"/>
      <c r="H706" s="759" t="s">
        <v>34</v>
      </c>
      <c r="I706" s="760"/>
      <c r="J706" s="214">
        <v>0</v>
      </c>
      <c r="K706" s="497"/>
      <c r="L706" s="497"/>
      <c r="M706" s="188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8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4">
        <v>0</v>
      </c>
      <c r="K707" s="497"/>
      <c r="L707" s="497"/>
      <c r="M707" s="188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299</v>
      </c>
      <c r="E708" s="758"/>
      <c r="F708" s="758"/>
      <c r="G708" s="188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4">
        <f ca="1">IF(I708&gt;0,J708*100/I708,0)</f>
        <v>0</v>
      </c>
      <c r="L708" s="497"/>
      <c r="M708" s="188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300</v>
      </c>
      <c r="F709" s="758"/>
      <c r="G709" s="188"/>
      <c r="H709" s="759" t="s">
        <v>34</v>
      </c>
      <c r="I709" s="760"/>
      <c r="J709" s="214">
        <v>0</v>
      </c>
      <c r="K709" s="497"/>
      <c r="L709" s="761"/>
      <c r="M709" s="188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8"/>
      <c r="H710" s="759" t="s">
        <v>46</v>
      </c>
      <c r="I710" s="760"/>
      <c r="J710" s="214">
        <v>0</v>
      </c>
      <c r="K710" s="497"/>
      <c r="L710" s="761"/>
      <c r="M710" s="188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301</v>
      </c>
      <c r="F711" s="758"/>
      <c r="G711" s="188"/>
      <c r="H711" s="757"/>
      <c r="I711" s="760"/>
      <c r="J711" s="269"/>
      <c r="K711" s="497"/>
      <c r="L711" s="761"/>
      <c r="M711" s="188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302</v>
      </c>
      <c r="G712" s="188"/>
      <c r="H712" s="759" t="s">
        <v>35</v>
      </c>
      <c r="I712" s="760"/>
      <c r="J712" s="214">
        <v>0</v>
      </c>
      <c r="K712" s="497"/>
      <c r="L712" s="761"/>
      <c r="M712" s="188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8"/>
      <c r="H713" s="759" t="s">
        <v>34</v>
      </c>
      <c r="I713" s="760"/>
      <c r="J713" s="214">
        <v>0</v>
      </c>
      <c r="K713" s="497"/>
      <c r="L713" s="761"/>
      <c r="M713" s="188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8"/>
      <c r="H714" s="759" t="s">
        <v>46</v>
      </c>
      <c r="I714" s="760"/>
      <c r="J714" s="214">
        <v>0</v>
      </c>
      <c r="K714" s="497"/>
      <c r="L714" s="761"/>
      <c r="M714" s="188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303</v>
      </c>
      <c r="G715" s="188"/>
      <c r="H715" s="759" t="s">
        <v>35</v>
      </c>
      <c r="I715" s="760"/>
      <c r="J715" s="214">
        <v>0</v>
      </c>
      <c r="K715" s="497"/>
      <c r="L715" s="761"/>
      <c r="M715" s="188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8"/>
      <c r="H716" s="759" t="s">
        <v>34</v>
      </c>
      <c r="I716" s="760"/>
      <c r="J716" s="214">
        <v>0</v>
      </c>
      <c r="K716" s="497"/>
      <c r="L716" s="761"/>
      <c r="M716" s="188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8"/>
      <c r="H717" s="759" t="s">
        <v>46</v>
      </c>
      <c r="I717" s="760"/>
      <c r="J717" s="214"/>
      <c r="K717" s="497"/>
      <c r="L717" s="761"/>
      <c r="M717" s="188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304</v>
      </c>
      <c r="E718" s="758"/>
      <c r="F718" s="758"/>
      <c r="G718" s="188"/>
      <c r="H718" s="759" t="s">
        <v>35</v>
      </c>
      <c r="I718" s="760"/>
      <c r="J718" s="269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8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8"/>
      <c r="H719" s="759" t="s">
        <v>34</v>
      </c>
      <c r="I719" s="760"/>
      <c r="J719" s="269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8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8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69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ca="1">IF(I720&gt;0,J720*100/I720,0)</f>
        <v>0</v>
      </c>
      <c r="L720" s="761"/>
      <c r="M720" s="188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305</v>
      </c>
      <c r="E721" s="758"/>
      <c r="F721" s="758"/>
      <c r="G721" s="188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23</v>
      </c>
      <c r="K721" s="194">
        <f ca="1">IF(I721&gt;0,J721*100/I721,0)</f>
        <v>766.66666666666663</v>
      </c>
      <c r="L721" s="761"/>
      <c r="M721" s="188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8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142.50650000000002</v>
      </c>
      <c r="K722" s="194">
        <f ca="1">IF(I722&gt;0,J722*100/I722,0)</f>
        <v>356.26625000000001</v>
      </c>
      <c r="L722" s="497"/>
      <c r="M722" s="188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306</v>
      </c>
      <c r="F723" s="758"/>
      <c r="G723" s="188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69">
        <f ca="1">IFERROR(__xludf.DUMMYFUNCTION("IMPORTRANGE(""https://docs.google.com/spreadsheets/d/1XWAQStnk-4SwqDmLtmXYiTMKHgktTP8We1SCoS47DrQ/edit?usp=sharing"",""จัดที่ดิน!BM60"")"),8)</f>
        <v>8</v>
      </c>
      <c r="K723" s="497">
        <f ca="1">IF(I723&gt;0,J723*100/I723,0)</f>
        <v>400</v>
      </c>
      <c r="L723" s="497"/>
      <c r="M723" s="188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8"/>
      <c r="H724" s="759" t="s">
        <v>34</v>
      </c>
      <c r="I724" s="760"/>
      <c r="J724" s="269">
        <f ca="1">IFERROR(__xludf.DUMMYFUNCTION("IMPORTRANGE(""https://docs.google.com/spreadsheets/d/1XWAQStnk-4SwqDmLtmXYiTMKHgktTP8We1SCoS47DrQ/edit?usp=sharing"",""จัดที่ดิน!BN60"")"),9)</f>
        <v>9</v>
      </c>
      <c r="K724" s="497"/>
      <c r="L724" s="761"/>
      <c r="M724" s="188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8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69">
        <f ca="1">IFERROR(__xludf.DUMMYFUNCTION("IMPORTRANGE(""https://docs.google.com/spreadsheets/d/1XWAQStnk-4SwqDmLtmXYiTMKHgktTP8We1SCoS47DrQ/edit?usp=sharing"",""จัดที่ดิน!BO60"")"),86.37)</f>
        <v>86.37</v>
      </c>
      <c r="K725" s="497">
        <f ca="1">IF(I725&gt;0,J725*100/I725,0)</f>
        <v>431.85</v>
      </c>
      <c r="L725" s="761"/>
      <c r="M725" s="188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307</v>
      </c>
      <c r="F726" s="758"/>
      <c r="G726" s="188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69">
        <f ca="1">IFERROR(__xludf.DUMMYFUNCTION("IMPORTRANGE(""https://docs.google.com/spreadsheets/d/1XWAQStnk-4SwqDmLtmXYiTMKHgktTP8We1SCoS47DrQ/edit?usp=sharing"",""จัดที่ดิน!BR60"")"),15)</f>
        <v>15</v>
      </c>
      <c r="K726" s="497">
        <f ca="1">IF(I726&gt;0,J726*100/I726,0)</f>
        <v>1500</v>
      </c>
      <c r="L726" s="497"/>
      <c r="M726" s="188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8"/>
      <c r="H727" s="759" t="s">
        <v>34</v>
      </c>
      <c r="I727" s="760"/>
      <c r="J727" s="269">
        <f ca="1">IFERROR(__xludf.DUMMYFUNCTION("IMPORTRANGE(""https://docs.google.com/spreadsheets/d/1XWAQStnk-4SwqDmLtmXYiTMKHgktTP8We1SCoS47DrQ/edit?usp=sharing"",""จัดที่ดิน!BS60"")"),19)</f>
        <v>19</v>
      </c>
      <c r="K727" s="497"/>
      <c r="L727" s="761"/>
      <c r="M727" s="188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8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69">
        <f ca="1">IFERROR(__xludf.DUMMYFUNCTION("IMPORTRANGE(""https://docs.google.com/spreadsheets/d/1XWAQStnk-4SwqDmLtmXYiTMKHgktTP8We1SCoS47DrQ/edit?usp=sharing"",""จัดที่ดิน!BT60"")"),56.1365)</f>
        <v>56.136499999999998</v>
      </c>
      <c r="K728" s="497">
        <f ca="1">IF(I728&gt;0,J728*100/I728,0)</f>
        <v>280.6825</v>
      </c>
      <c r="L728" s="761"/>
      <c r="M728" s="188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308</v>
      </c>
      <c r="E729" s="758"/>
      <c r="F729" s="758"/>
      <c r="G729" s="188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4">
        <f ca="1">IF(I729&gt;0,J729*100/I729,0)</f>
        <v>0</v>
      </c>
      <c r="L729" s="497"/>
      <c r="M729" s="188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309</v>
      </c>
      <c r="F730" s="758"/>
      <c r="G730" s="188"/>
      <c r="H730" s="759" t="s">
        <v>35</v>
      </c>
      <c r="I730" s="760"/>
      <c r="J730" s="214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8"/>
      <c r="H731" s="759" t="s">
        <v>34</v>
      </c>
      <c r="I731" s="760"/>
      <c r="J731" s="214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8"/>
      <c r="H732" s="759" t="s">
        <v>46</v>
      </c>
      <c r="I732" s="760"/>
      <c r="J732" s="214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310</v>
      </c>
      <c r="F733" s="758"/>
      <c r="G733" s="188"/>
      <c r="H733" s="759" t="s">
        <v>35</v>
      </c>
      <c r="I733" s="760"/>
      <c r="J733" s="214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8"/>
      <c r="H734" s="759" t="s">
        <v>34</v>
      </c>
      <c r="I734" s="760"/>
      <c r="J734" s="214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311</v>
      </c>
      <c r="C735" s="729"/>
      <c r="D735" s="729"/>
      <c r="E735" s="729"/>
      <c r="F735" s="729"/>
      <c r="G735" s="730"/>
      <c r="H735" s="421" t="s">
        <v>46</v>
      </c>
      <c r="I735" s="767"/>
      <c r="J735" s="423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312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91" t="s">
        <v>17</v>
      </c>
      <c r="E737" s="887"/>
      <c r="F737" s="887"/>
      <c r="G737" s="598"/>
      <c r="H737" s="641" t="s">
        <v>12</v>
      </c>
      <c r="I737" s="612"/>
      <c r="J737" s="612"/>
      <c r="K737" s="92"/>
      <c r="L737" s="642">
        <f>L738+L739</f>
        <v>0</v>
      </c>
      <c r="M737" s="642">
        <f>M738+M739</f>
        <v>0</v>
      </c>
      <c r="N737" s="642">
        <f>N738+N739</f>
        <v>0</v>
      </c>
      <c r="O737" s="642">
        <f t="shared" ref="O737:O742" si="98">IF(L737&gt;0,N737*100/L737,0)</f>
        <v>0</v>
      </c>
      <c r="P737" s="642">
        <f t="shared" ref="P737:P742" si="99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184</v>
      </c>
      <c r="F738" s="754"/>
      <c r="G738" s="598"/>
      <c r="H738" s="164" t="s">
        <v>12</v>
      </c>
      <c r="I738" s="612"/>
      <c r="J738" s="612"/>
      <c r="K738" s="92"/>
      <c r="L738" s="92">
        <f t="shared" ref="L738:N739" si="100">L741+L748</f>
        <v>0</v>
      </c>
      <c r="M738" s="92">
        <f t="shared" si="100"/>
        <v>0</v>
      </c>
      <c r="N738" s="92">
        <f t="shared" si="100"/>
        <v>0</v>
      </c>
      <c r="O738" s="92">
        <f t="shared" si="98"/>
        <v>0</v>
      </c>
      <c r="P738" s="92">
        <f t="shared" si="99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185</v>
      </c>
      <c r="F739" s="754"/>
      <c r="G739" s="598"/>
      <c r="H739" s="164" t="s">
        <v>12</v>
      </c>
      <c r="I739" s="612"/>
      <c r="J739" s="612"/>
      <c r="K739" s="92"/>
      <c r="L739" s="92">
        <f t="shared" si="100"/>
        <v>0</v>
      </c>
      <c r="M739" s="92">
        <f t="shared" si="100"/>
        <v>0</v>
      </c>
      <c r="N739" s="92">
        <f t="shared" si="100"/>
        <v>0</v>
      </c>
      <c r="O739" s="92">
        <f t="shared" si="98"/>
        <v>0</v>
      </c>
      <c r="P739" s="92">
        <f t="shared" si="99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5"/>
      <c r="J740" s="165"/>
      <c r="K740" s="166"/>
      <c r="L740" s="642">
        <f>L741+L742</f>
        <v>0</v>
      </c>
      <c r="M740" s="642">
        <f>M741+M742</f>
        <v>0</v>
      </c>
      <c r="N740" s="642">
        <f>N741+N742</f>
        <v>0</v>
      </c>
      <c r="O740" s="642">
        <f t="shared" si="98"/>
        <v>0</v>
      </c>
      <c r="P740" s="642">
        <f t="shared" si="99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184</v>
      </c>
      <c r="F741" s="754"/>
      <c r="G741" s="598"/>
      <c r="H741" s="164" t="s">
        <v>12</v>
      </c>
      <c r="I741" s="612"/>
      <c r="J741" s="612"/>
      <c r="K741" s="92"/>
      <c r="L741" s="92">
        <v>0</v>
      </c>
      <c r="M741" s="92">
        <v>0</v>
      </c>
      <c r="N741" s="92">
        <v>0</v>
      </c>
      <c r="O741" s="92">
        <f t="shared" si="98"/>
        <v>0</v>
      </c>
      <c r="P741" s="92">
        <f t="shared" si="99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185</v>
      </c>
      <c r="F742" s="754"/>
      <c r="G742" s="598"/>
      <c r="H742" s="164" t="s">
        <v>12</v>
      </c>
      <c r="I742" s="612"/>
      <c r="J742" s="612"/>
      <c r="K742" s="92"/>
      <c r="L742" s="92">
        <v>0</v>
      </c>
      <c r="M742" s="92">
        <v>0</v>
      </c>
      <c r="N742" s="92">
        <f>N743+N744+N745+N746</f>
        <v>0</v>
      </c>
      <c r="O742" s="92">
        <f t="shared" si="98"/>
        <v>0</v>
      </c>
      <c r="P742" s="92">
        <f t="shared" si="99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186</v>
      </c>
      <c r="G743" s="598"/>
      <c r="H743" s="164" t="s">
        <v>12</v>
      </c>
      <c r="I743" s="612"/>
      <c r="J743" s="612"/>
      <c r="K743" s="92"/>
      <c r="L743" s="92"/>
      <c r="M743" s="92"/>
      <c r="N743" s="92"/>
      <c r="O743" s="92"/>
      <c r="P743" s="92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187</v>
      </c>
      <c r="G744" s="598"/>
      <c r="H744" s="164" t="s">
        <v>12</v>
      </c>
      <c r="I744" s="612"/>
      <c r="J744" s="612"/>
      <c r="K744" s="92"/>
      <c r="L744" s="92"/>
      <c r="M744" s="92"/>
      <c r="N744" s="92"/>
      <c r="O744" s="92"/>
      <c r="P744" s="92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188</v>
      </c>
      <c r="G745" s="598"/>
      <c r="H745" s="164" t="s">
        <v>12</v>
      </c>
      <c r="I745" s="612"/>
      <c r="J745" s="612"/>
      <c r="K745" s="92"/>
      <c r="L745" s="92"/>
      <c r="M745" s="92"/>
      <c r="N745" s="92"/>
      <c r="O745" s="92"/>
      <c r="P745" s="92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189</v>
      </c>
      <c r="G746" s="598"/>
      <c r="H746" s="164" t="s">
        <v>12</v>
      </c>
      <c r="I746" s="612"/>
      <c r="J746" s="612"/>
      <c r="K746" s="92"/>
      <c r="L746" s="92"/>
      <c r="M746" s="92"/>
      <c r="N746" s="92"/>
      <c r="O746" s="92"/>
      <c r="P746" s="92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5"/>
      <c r="J747" s="165"/>
      <c r="K747" s="166"/>
      <c r="L747" s="642">
        <f>L748+L749</f>
        <v>0</v>
      </c>
      <c r="M747" s="642">
        <f>M748+M749</f>
        <v>0</v>
      </c>
      <c r="N747" s="642">
        <f>N748+N749</f>
        <v>0</v>
      </c>
      <c r="O747" s="642">
        <f>IF(L747&gt;0,N747*100/L747,0)</f>
        <v>0</v>
      </c>
      <c r="P747" s="642">
        <f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4" t="s">
        <v>12</v>
      </c>
      <c r="I748" s="165"/>
      <c r="J748" s="165"/>
      <c r="K748" s="166"/>
      <c r="L748" s="92">
        <v>0</v>
      </c>
      <c r="M748" s="92">
        <v>0</v>
      </c>
      <c r="N748" s="92">
        <v>0</v>
      </c>
      <c r="O748" s="92">
        <f>IF(L748&gt;0,N748*100/L748,0)</f>
        <v>0</v>
      </c>
      <c r="P748" s="92">
        <f>IF(M748&gt;0,N748*100/M748,0)</f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8" t="s">
        <v>12</v>
      </c>
      <c r="I749" s="165"/>
      <c r="J749" s="165"/>
      <c r="K749" s="166"/>
      <c r="L749" s="92">
        <v>0</v>
      </c>
      <c r="M749" s="92">
        <v>0</v>
      </c>
      <c r="N749" s="92">
        <v>0</v>
      </c>
      <c r="O749" s="92">
        <f>IF(L749&gt;0,N749*100/L749,0)</f>
        <v>0</v>
      </c>
      <c r="P749" s="92">
        <f>IF(M749&gt;0,N749*100/M749,0)</f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48" t="s">
        <v>38</v>
      </c>
      <c r="E750" s="646"/>
      <c r="F750" s="646"/>
      <c r="G750" s="647"/>
      <c r="H750" s="365"/>
      <c r="I750" s="165"/>
      <c r="J750" s="165"/>
      <c r="K750" s="166"/>
      <c r="L750" s="166"/>
      <c r="M750" s="166"/>
      <c r="N750" s="166"/>
      <c r="O750" s="166"/>
      <c r="P750" s="166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313</v>
      </c>
      <c r="F751" s="754"/>
      <c r="G751" s="598"/>
      <c r="H751" s="164" t="s">
        <v>46</v>
      </c>
      <c r="I751" s="612"/>
      <c r="J751" s="612"/>
      <c r="K751" s="92"/>
      <c r="L751" s="92"/>
      <c r="M751" s="92"/>
      <c r="N751" s="92"/>
      <c r="O751" s="92"/>
      <c r="P751" s="92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4" t="s">
        <v>314</v>
      </c>
      <c r="I752" s="612"/>
      <c r="J752" s="612"/>
      <c r="K752" s="92"/>
      <c r="L752" s="92"/>
      <c r="M752" s="92"/>
      <c r="N752" s="92"/>
      <c r="O752" s="92"/>
      <c r="P752" s="92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315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91" t="s">
        <v>17</v>
      </c>
      <c r="E754" s="887"/>
      <c r="F754" s="887"/>
      <c r="G754" s="598"/>
      <c r="H754" s="641" t="s">
        <v>12</v>
      </c>
      <c r="I754" s="612"/>
      <c r="J754" s="612"/>
      <c r="K754" s="92"/>
      <c r="L754" s="642">
        <f>L755+L756</f>
        <v>0</v>
      </c>
      <c r="M754" s="642">
        <f>M755+M756</f>
        <v>0</v>
      </c>
      <c r="N754" s="642">
        <f>N755+N756</f>
        <v>0</v>
      </c>
      <c r="O754" s="642">
        <f t="shared" ref="O754:O759" si="101">IF(L754&gt;0,N754*100/L754,0)</f>
        <v>0</v>
      </c>
      <c r="P754" s="642">
        <f t="shared" ref="P754:P759" si="102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184</v>
      </c>
      <c r="F755" s="754"/>
      <c r="G755" s="598"/>
      <c r="H755" s="164" t="s">
        <v>12</v>
      </c>
      <c r="I755" s="612"/>
      <c r="J755" s="612"/>
      <c r="K755" s="92"/>
      <c r="L755" s="92">
        <f t="shared" ref="L755:N756" si="103">L758+L765</f>
        <v>0</v>
      </c>
      <c r="M755" s="92">
        <f t="shared" si="103"/>
        <v>0</v>
      </c>
      <c r="N755" s="92">
        <f t="shared" si="103"/>
        <v>0</v>
      </c>
      <c r="O755" s="92">
        <f t="shared" si="101"/>
        <v>0</v>
      </c>
      <c r="P755" s="92">
        <f t="shared" si="102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185</v>
      </c>
      <c r="F756" s="754"/>
      <c r="G756" s="598"/>
      <c r="H756" s="164" t="s">
        <v>12</v>
      </c>
      <c r="I756" s="612"/>
      <c r="J756" s="612"/>
      <c r="K756" s="92"/>
      <c r="L756" s="92">
        <f t="shared" si="103"/>
        <v>0</v>
      </c>
      <c r="M756" s="92">
        <f t="shared" si="103"/>
        <v>0</v>
      </c>
      <c r="N756" s="92">
        <f t="shared" si="103"/>
        <v>0</v>
      </c>
      <c r="O756" s="92">
        <f t="shared" si="101"/>
        <v>0</v>
      </c>
      <c r="P756" s="92">
        <f t="shared" si="102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5"/>
      <c r="J757" s="165"/>
      <c r="K757" s="166"/>
      <c r="L757" s="642">
        <f>L758+L759</f>
        <v>0</v>
      </c>
      <c r="M757" s="642">
        <f>M758+M759</f>
        <v>0</v>
      </c>
      <c r="N757" s="642">
        <f>N758+N759</f>
        <v>0</v>
      </c>
      <c r="O757" s="642">
        <f t="shared" si="101"/>
        <v>0</v>
      </c>
      <c r="P757" s="642">
        <f t="shared" si="102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184</v>
      </c>
      <c r="F758" s="754"/>
      <c r="G758" s="598"/>
      <c r="H758" s="164" t="s">
        <v>12</v>
      </c>
      <c r="I758" s="612"/>
      <c r="J758" s="612"/>
      <c r="K758" s="92"/>
      <c r="L758" s="92">
        <v>0</v>
      </c>
      <c r="M758" s="92">
        <v>0</v>
      </c>
      <c r="N758" s="92">
        <v>0</v>
      </c>
      <c r="O758" s="92">
        <f t="shared" si="101"/>
        <v>0</v>
      </c>
      <c r="P758" s="92">
        <f t="shared" si="102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185</v>
      </c>
      <c r="F759" s="754"/>
      <c r="G759" s="598"/>
      <c r="H759" s="164" t="s">
        <v>12</v>
      </c>
      <c r="I759" s="612"/>
      <c r="J759" s="612"/>
      <c r="K759" s="92"/>
      <c r="L759" s="92">
        <v>0</v>
      </c>
      <c r="M759" s="92">
        <v>0</v>
      </c>
      <c r="N759" s="92">
        <f>N760+N761+N762+N763</f>
        <v>0</v>
      </c>
      <c r="O759" s="92">
        <f t="shared" si="101"/>
        <v>0</v>
      </c>
      <c r="P759" s="92">
        <f t="shared" si="102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186</v>
      </c>
      <c r="G760" s="598"/>
      <c r="H760" s="164" t="s">
        <v>12</v>
      </c>
      <c r="I760" s="612"/>
      <c r="J760" s="612"/>
      <c r="K760" s="92"/>
      <c r="L760" s="92"/>
      <c r="M760" s="92"/>
      <c r="N760" s="92"/>
      <c r="O760" s="92"/>
      <c r="P760" s="92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187</v>
      </c>
      <c r="G761" s="598"/>
      <c r="H761" s="164" t="s">
        <v>12</v>
      </c>
      <c r="I761" s="612"/>
      <c r="J761" s="612"/>
      <c r="K761" s="92"/>
      <c r="L761" s="92"/>
      <c r="M761" s="92"/>
      <c r="N761" s="92"/>
      <c r="O761" s="92"/>
      <c r="P761" s="92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188</v>
      </c>
      <c r="G762" s="598"/>
      <c r="H762" s="164" t="s">
        <v>12</v>
      </c>
      <c r="I762" s="612"/>
      <c r="J762" s="612"/>
      <c r="K762" s="92"/>
      <c r="L762" s="92"/>
      <c r="M762" s="92"/>
      <c r="N762" s="92"/>
      <c r="O762" s="92"/>
      <c r="P762" s="92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189</v>
      </c>
      <c r="G763" s="598"/>
      <c r="H763" s="164" t="s">
        <v>12</v>
      </c>
      <c r="I763" s="612"/>
      <c r="J763" s="612"/>
      <c r="K763" s="92"/>
      <c r="L763" s="92"/>
      <c r="M763" s="92"/>
      <c r="N763" s="92"/>
      <c r="O763" s="92"/>
      <c r="P763" s="92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5"/>
      <c r="J764" s="165"/>
      <c r="K764" s="166"/>
      <c r="L764" s="642">
        <f>L765+L766</f>
        <v>0</v>
      </c>
      <c r="M764" s="642">
        <f>M765+M766</f>
        <v>0</v>
      </c>
      <c r="N764" s="642">
        <f>N765+N766</f>
        <v>0</v>
      </c>
      <c r="O764" s="642">
        <f>IF(L764&gt;0,N764*100/L764,0)</f>
        <v>0</v>
      </c>
      <c r="P764" s="642">
        <f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4" t="s">
        <v>12</v>
      </c>
      <c r="I765" s="165"/>
      <c r="J765" s="165"/>
      <c r="K765" s="166"/>
      <c r="L765" s="92">
        <v>0</v>
      </c>
      <c r="M765" s="92">
        <v>0</v>
      </c>
      <c r="N765" s="92">
        <v>0</v>
      </c>
      <c r="O765" s="92">
        <f>IF(L765&gt;0,N765*100/L765,0)</f>
        <v>0</v>
      </c>
      <c r="P765" s="92">
        <f>IF(M765&gt;0,N765*100/M765,0)</f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8" t="s">
        <v>12</v>
      </c>
      <c r="I766" s="165"/>
      <c r="J766" s="165"/>
      <c r="K766" s="166"/>
      <c r="L766" s="92">
        <v>0</v>
      </c>
      <c r="M766" s="92">
        <v>0</v>
      </c>
      <c r="N766" s="92">
        <v>0</v>
      </c>
      <c r="O766" s="92">
        <f>IF(L766&gt;0,N766*100/L766,0)</f>
        <v>0</v>
      </c>
      <c r="P766" s="92">
        <f>IF(M766&gt;0,N766*100/M766,0)</f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48" t="s">
        <v>38</v>
      </c>
      <c r="E767" s="646"/>
      <c r="F767" s="646"/>
      <c r="G767" s="647"/>
      <c r="H767" s="365"/>
      <c r="I767" s="165"/>
      <c r="J767" s="165"/>
      <c r="K767" s="166"/>
      <c r="L767" s="166"/>
      <c r="M767" s="166"/>
      <c r="N767" s="166"/>
      <c r="O767" s="166"/>
      <c r="P767" s="166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316</v>
      </c>
      <c r="F768" s="754"/>
      <c r="G768" s="598"/>
      <c r="H768" s="164" t="s">
        <v>46</v>
      </c>
      <c r="I768" s="612"/>
      <c r="J768" s="612"/>
      <c r="K768" s="92"/>
      <c r="L768" s="92"/>
      <c r="M768" s="92"/>
      <c r="N768" s="92"/>
      <c r="O768" s="92"/>
      <c r="P768" s="92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317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91" t="s">
        <v>17</v>
      </c>
      <c r="E770" s="887"/>
      <c r="F770" s="887"/>
      <c r="G770" s="598"/>
      <c r="H770" s="641" t="s">
        <v>12</v>
      </c>
      <c r="I770" s="612"/>
      <c r="J770" s="612"/>
      <c r="K770" s="92"/>
      <c r="L770" s="642">
        <f>L771+L772</f>
        <v>0</v>
      </c>
      <c r="M770" s="642">
        <f>M771+M772</f>
        <v>0</v>
      </c>
      <c r="N770" s="642">
        <f>N771+N772</f>
        <v>0</v>
      </c>
      <c r="O770" s="642">
        <f t="shared" ref="O770:O775" si="104">IF(L770&gt;0,N770*100/L770,0)</f>
        <v>0</v>
      </c>
      <c r="P770" s="642">
        <f t="shared" ref="P770:P775" si="105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184</v>
      </c>
      <c r="F771" s="754"/>
      <c r="G771" s="598"/>
      <c r="H771" s="164" t="s">
        <v>12</v>
      </c>
      <c r="I771" s="612"/>
      <c r="J771" s="612"/>
      <c r="K771" s="92"/>
      <c r="L771" s="92">
        <f t="shared" ref="L771:N772" si="106">L774+L781</f>
        <v>0</v>
      </c>
      <c r="M771" s="92">
        <f t="shared" si="106"/>
        <v>0</v>
      </c>
      <c r="N771" s="92">
        <f t="shared" si="106"/>
        <v>0</v>
      </c>
      <c r="O771" s="92">
        <f t="shared" si="104"/>
        <v>0</v>
      </c>
      <c r="P771" s="92">
        <f t="shared" si="105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185</v>
      </c>
      <c r="F772" s="754"/>
      <c r="G772" s="598"/>
      <c r="H772" s="164" t="s">
        <v>12</v>
      </c>
      <c r="I772" s="612"/>
      <c r="J772" s="612"/>
      <c r="K772" s="92"/>
      <c r="L772" s="92">
        <f t="shared" si="106"/>
        <v>0</v>
      </c>
      <c r="M772" s="92">
        <f t="shared" si="106"/>
        <v>0</v>
      </c>
      <c r="N772" s="92">
        <f t="shared" si="106"/>
        <v>0</v>
      </c>
      <c r="O772" s="92">
        <f t="shared" si="104"/>
        <v>0</v>
      </c>
      <c r="P772" s="92">
        <f t="shared" si="105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5"/>
      <c r="J773" s="165"/>
      <c r="K773" s="166"/>
      <c r="L773" s="642">
        <f>L774+L775</f>
        <v>0</v>
      </c>
      <c r="M773" s="642">
        <f>M774+M775</f>
        <v>0</v>
      </c>
      <c r="N773" s="642">
        <f>N774+N775</f>
        <v>0</v>
      </c>
      <c r="O773" s="642">
        <f t="shared" si="104"/>
        <v>0</v>
      </c>
      <c r="P773" s="642">
        <f t="shared" si="105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184</v>
      </c>
      <c r="F774" s="754"/>
      <c r="G774" s="598"/>
      <c r="H774" s="164" t="s">
        <v>12</v>
      </c>
      <c r="I774" s="612"/>
      <c r="J774" s="612"/>
      <c r="K774" s="92"/>
      <c r="L774" s="92">
        <v>0</v>
      </c>
      <c r="M774" s="92">
        <v>0</v>
      </c>
      <c r="N774" s="92">
        <v>0</v>
      </c>
      <c r="O774" s="92">
        <f t="shared" si="104"/>
        <v>0</v>
      </c>
      <c r="P774" s="92">
        <f t="shared" si="105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185</v>
      </c>
      <c r="F775" s="754"/>
      <c r="G775" s="598"/>
      <c r="H775" s="164" t="s">
        <v>12</v>
      </c>
      <c r="I775" s="612"/>
      <c r="J775" s="612"/>
      <c r="K775" s="92"/>
      <c r="L775" s="92">
        <v>0</v>
      </c>
      <c r="M775" s="92">
        <v>0</v>
      </c>
      <c r="N775" s="92">
        <f>N776+N777+N778+N779</f>
        <v>0</v>
      </c>
      <c r="O775" s="92">
        <f t="shared" si="104"/>
        <v>0</v>
      </c>
      <c r="P775" s="92">
        <f t="shared" si="105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186</v>
      </c>
      <c r="G776" s="598"/>
      <c r="H776" s="164" t="s">
        <v>12</v>
      </c>
      <c r="I776" s="612"/>
      <c r="J776" s="612"/>
      <c r="K776" s="92"/>
      <c r="L776" s="92"/>
      <c r="M776" s="92"/>
      <c r="N776" s="92"/>
      <c r="O776" s="92"/>
      <c r="P776" s="92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187</v>
      </c>
      <c r="G777" s="598"/>
      <c r="H777" s="164" t="s">
        <v>12</v>
      </c>
      <c r="I777" s="612"/>
      <c r="J777" s="612"/>
      <c r="K777" s="92"/>
      <c r="L777" s="92"/>
      <c r="M777" s="92"/>
      <c r="N777" s="92"/>
      <c r="O777" s="92"/>
      <c r="P777" s="92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188</v>
      </c>
      <c r="G778" s="598"/>
      <c r="H778" s="164" t="s">
        <v>12</v>
      </c>
      <c r="I778" s="612"/>
      <c r="J778" s="612"/>
      <c r="K778" s="92"/>
      <c r="L778" s="92"/>
      <c r="M778" s="92"/>
      <c r="N778" s="92"/>
      <c r="O778" s="92"/>
      <c r="P778" s="92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189</v>
      </c>
      <c r="G779" s="598"/>
      <c r="H779" s="164" t="s">
        <v>12</v>
      </c>
      <c r="I779" s="612"/>
      <c r="J779" s="612"/>
      <c r="K779" s="92"/>
      <c r="L779" s="92"/>
      <c r="M779" s="92"/>
      <c r="N779" s="92"/>
      <c r="O779" s="92"/>
      <c r="P779" s="92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5"/>
      <c r="J780" s="165"/>
      <c r="K780" s="166"/>
      <c r="L780" s="642">
        <f>L781+L782</f>
        <v>0</v>
      </c>
      <c r="M780" s="642">
        <f>M781+M782</f>
        <v>0</v>
      </c>
      <c r="N780" s="642">
        <f>N781+N782</f>
        <v>0</v>
      </c>
      <c r="O780" s="642">
        <f>IF(L780&gt;0,N780*100/L780,0)</f>
        <v>0</v>
      </c>
      <c r="P780" s="642">
        <f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4" t="s">
        <v>12</v>
      </c>
      <c r="I781" s="165"/>
      <c r="J781" s="165"/>
      <c r="K781" s="166"/>
      <c r="L781" s="92">
        <v>0</v>
      </c>
      <c r="M781" s="92">
        <v>0</v>
      </c>
      <c r="N781" s="92">
        <v>0</v>
      </c>
      <c r="O781" s="92">
        <f>IF(L781&gt;0,N781*100/L781,0)</f>
        <v>0</v>
      </c>
      <c r="P781" s="92">
        <f>IF(M781&gt;0,N781*100/M781,0)</f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8" t="s">
        <v>12</v>
      </c>
      <c r="I782" s="165"/>
      <c r="J782" s="165"/>
      <c r="K782" s="166"/>
      <c r="L782" s="92">
        <v>0</v>
      </c>
      <c r="M782" s="92">
        <v>0</v>
      </c>
      <c r="N782" s="92">
        <v>0</v>
      </c>
      <c r="O782" s="92">
        <f>IF(L782&gt;0,N782*100/L782,0)</f>
        <v>0</v>
      </c>
      <c r="P782" s="92">
        <f>IF(M782&gt;0,N782*100/M782,0)</f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48" t="s">
        <v>38</v>
      </c>
      <c r="E783" s="646"/>
      <c r="F783" s="646"/>
      <c r="G783" s="647"/>
      <c r="H783" s="796"/>
      <c r="I783" s="165"/>
      <c r="J783" s="165"/>
      <c r="K783" s="166"/>
      <c r="L783" s="166"/>
      <c r="M783" s="166"/>
      <c r="N783" s="166"/>
      <c r="O783" s="166"/>
      <c r="P783" s="166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318</v>
      </c>
      <c r="F784" s="754"/>
      <c r="G784" s="598"/>
      <c r="H784" s="164" t="s">
        <v>46</v>
      </c>
      <c r="I784" s="612"/>
      <c r="J784" s="612"/>
      <c r="K784" s="92"/>
      <c r="L784" s="92"/>
      <c r="M784" s="92"/>
      <c r="N784" s="92"/>
      <c r="O784" s="92"/>
      <c r="P784" s="92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319</v>
      </c>
      <c r="C785" s="799"/>
      <c r="D785" s="799"/>
      <c r="E785" s="799"/>
      <c r="F785" s="799"/>
      <c r="G785" s="800"/>
      <c r="H785" s="847" t="s">
        <v>46</v>
      </c>
      <c r="I785" s="846">
        <f ca="1">I800</f>
        <v>0</v>
      </c>
      <c r="J785" s="845">
        <f ca="1">J800</f>
        <v>0</v>
      </c>
      <c r="K785" s="844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86" t="s">
        <v>17</v>
      </c>
      <c r="E786" s="887"/>
      <c r="F786" s="887"/>
      <c r="G786" s="188"/>
      <c r="H786" s="593" t="s">
        <v>12</v>
      </c>
      <c r="I786" s="269"/>
      <c r="J786" s="269"/>
      <c r="K786" s="497"/>
      <c r="L786" s="194">
        <f ca="1">L787+L788</f>
        <v>0</v>
      </c>
      <c r="M786" s="194">
        <f>M787+M788</f>
        <v>0</v>
      </c>
      <c r="N786" s="194">
        <f>N787+N788</f>
        <v>0</v>
      </c>
      <c r="O786" s="194">
        <f t="shared" ref="O786:O791" ca="1" si="107">IF(L786&gt;0,N786*100/L786,0)</f>
        <v>0</v>
      </c>
      <c r="P786" s="194">
        <f t="shared" ref="P786:P791" si="108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184</v>
      </c>
      <c r="F787" s="754"/>
      <c r="G787" s="598"/>
      <c r="H787" s="164" t="s">
        <v>12</v>
      </c>
      <c r="I787" s="612"/>
      <c r="J787" s="612"/>
      <c r="K787" s="92"/>
      <c r="L787" s="92">
        <f t="shared" ref="L787:N788" si="109">L790+L797</f>
        <v>0</v>
      </c>
      <c r="M787" s="92">
        <f t="shared" si="109"/>
        <v>0</v>
      </c>
      <c r="N787" s="92">
        <f t="shared" si="109"/>
        <v>0</v>
      </c>
      <c r="O787" s="92">
        <f t="shared" si="107"/>
        <v>0</v>
      </c>
      <c r="P787" s="92">
        <f t="shared" si="108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185</v>
      </c>
      <c r="F788" s="754"/>
      <c r="G788" s="598"/>
      <c r="H788" s="164" t="s">
        <v>12</v>
      </c>
      <c r="I788" s="612"/>
      <c r="J788" s="612"/>
      <c r="K788" s="92"/>
      <c r="L788" s="92">
        <f t="shared" ca="1" si="109"/>
        <v>0</v>
      </c>
      <c r="M788" s="92">
        <f t="shared" si="109"/>
        <v>0</v>
      </c>
      <c r="N788" s="92">
        <f t="shared" si="109"/>
        <v>0</v>
      </c>
      <c r="O788" s="92">
        <f t="shared" ca="1" si="107"/>
        <v>0</v>
      </c>
      <c r="P788" s="92">
        <f t="shared" si="108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8"/>
      <c r="H789" s="160" t="s">
        <v>12</v>
      </c>
      <c r="I789" s="183"/>
      <c r="J789" s="183"/>
      <c r="K789" s="162"/>
      <c r="L789" s="497">
        <f ca="1">L790+L791</f>
        <v>0</v>
      </c>
      <c r="M789" s="497">
        <f>M790+M791</f>
        <v>0</v>
      </c>
      <c r="N789" s="497">
        <f>N790+N791</f>
        <v>0</v>
      </c>
      <c r="O789" s="497">
        <f t="shared" ca="1" si="107"/>
        <v>0</v>
      </c>
      <c r="P789" s="497">
        <f t="shared" si="108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184</v>
      </c>
      <c r="F790" s="754"/>
      <c r="G790" s="598"/>
      <c r="H790" s="164" t="s">
        <v>12</v>
      </c>
      <c r="I790" s="612"/>
      <c r="J790" s="612"/>
      <c r="K790" s="92"/>
      <c r="L790" s="92">
        <v>0</v>
      </c>
      <c r="M790" s="92">
        <v>0</v>
      </c>
      <c r="N790" s="92">
        <v>0</v>
      </c>
      <c r="O790" s="92">
        <f t="shared" si="107"/>
        <v>0</v>
      </c>
      <c r="P790" s="92">
        <f t="shared" si="108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185</v>
      </c>
      <c r="F791" s="754"/>
      <c r="G791" s="598"/>
      <c r="H791" s="164" t="s">
        <v>12</v>
      </c>
      <c r="I791" s="612"/>
      <c r="J791" s="612"/>
      <c r="K791" s="92"/>
      <c r="L791" s="92">
        <f ca="1">IFERROR(__xludf.DUMMYFUNCTION("IMPORTRANGE(""https://docs.google.com/spreadsheets/d/1QqKyyYR6Q21VydFLVH3TRQUabQu_ym0Zz7PgGX0-kHA/edit?usp=sharing"",""แผน!JJ60"")"),0)</f>
        <v>0</v>
      </c>
      <c r="M791" s="92">
        <v>0</v>
      </c>
      <c r="N791" s="92">
        <f>N792+N793+N794+N795</f>
        <v>0</v>
      </c>
      <c r="O791" s="92">
        <f t="shared" ca="1" si="107"/>
        <v>0</v>
      </c>
      <c r="P791" s="92">
        <f t="shared" si="108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186</v>
      </c>
      <c r="G792" s="188"/>
      <c r="H792" s="160" t="s">
        <v>12</v>
      </c>
      <c r="I792" s="269"/>
      <c r="J792" s="269"/>
      <c r="K792" s="497"/>
      <c r="L792" s="497"/>
      <c r="M792" s="497"/>
      <c r="N792" s="283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187</v>
      </c>
      <c r="G793" s="188"/>
      <c r="H793" s="160" t="s">
        <v>12</v>
      </c>
      <c r="I793" s="269"/>
      <c r="J793" s="269"/>
      <c r="K793" s="497"/>
      <c r="L793" s="497"/>
      <c r="M793" s="497"/>
      <c r="N793" s="283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188</v>
      </c>
      <c r="G794" s="188"/>
      <c r="H794" s="160" t="s">
        <v>12</v>
      </c>
      <c r="I794" s="269"/>
      <c r="J794" s="269"/>
      <c r="K794" s="497"/>
      <c r="L794" s="497"/>
      <c r="M794" s="497"/>
      <c r="N794" s="283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189</v>
      </c>
      <c r="G795" s="188"/>
      <c r="H795" s="160" t="s">
        <v>12</v>
      </c>
      <c r="I795" s="269"/>
      <c r="J795" s="269"/>
      <c r="K795" s="497"/>
      <c r="L795" s="497"/>
      <c r="M795" s="497"/>
      <c r="N795" s="283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8"/>
      <c r="H796" s="167" t="s">
        <v>12</v>
      </c>
      <c r="I796" s="183"/>
      <c r="J796" s="183"/>
      <c r="K796" s="162"/>
      <c r="L796" s="497">
        <f>L797+L798</f>
        <v>0</v>
      </c>
      <c r="M796" s="497">
        <f>M797+M798</f>
        <v>0</v>
      </c>
      <c r="N796" s="497">
        <f>N797+N798</f>
        <v>0</v>
      </c>
      <c r="O796" s="497">
        <f>IF(L796&gt;0,N796*100/L796,0)</f>
        <v>0</v>
      </c>
      <c r="P796" s="497">
        <f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4" t="s">
        <v>12</v>
      </c>
      <c r="I797" s="165"/>
      <c r="J797" s="165"/>
      <c r="K797" s="166"/>
      <c r="L797" s="92">
        <v>0</v>
      </c>
      <c r="M797" s="92">
        <v>0</v>
      </c>
      <c r="N797" s="92">
        <v>0</v>
      </c>
      <c r="O797" s="92">
        <f>IF(L797&gt;0,N797*100/L797,0)</f>
        <v>0</v>
      </c>
      <c r="P797" s="92">
        <f>IF(M797&gt;0,N797*100/M797,0)</f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8" t="s">
        <v>12</v>
      </c>
      <c r="I798" s="165"/>
      <c r="J798" s="165"/>
      <c r="K798" s="166"/>
      <c r="L798" s="92">
        <v>0</v>
      </c>
      <c r="M798" s="92">
        <v>0</v>
      </c>
      <c r="N798" s="92">
        <v>0</v>
      </c>
      <c r="O798" s="92">
        <f>IF(L798&gt;0,N798*100/L798,0)</f>
        <v>0</v>
      </c>
      <c r="P798" s="92">
        <f>IF(M798&gt;0,N798*100/M798,0)</f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43" t="s">
        <v>38</v>
      </c>
      <c r="E799" s="756"/>
      <c r="F799" s="756"/>
      <c r="G799" s="608"/>
      <c r="H799" s="842"/>
      <c r="I799" s="183"/>
      <c r="J799" s="183"/>
      <c r="K799" s="162"/>
      <c r="L799" s="162"/>
      <c r="M799" s="162"/>
      <c r="N799" s="162"/>
      <c r="O799" s="162"/>
      <c r="P799" s="162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7"/>
      <c r="H800" s="184" t="s">
        <v>46</v>
      </c>
      <c r="I800" s="183">
        <f ca="1">IFERROR(__xludf.DUMMYFUNCTION("IMPORTRANGE(""https://docs.google.com/spreadsheets/d/1QqKyyYR6Q21VydFLVH3TRQUabQu_ym0Zz7PgGX0-kHA/edit?usp=sharing"",""แผน!JN60"")"),0)</f>
        <v>0</v>
      </c>
      <c r="J800" s="183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2"/>
      <c r="P800" s="162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0" t="s">
        <v>34</v>
      </c>
      <c r="I801" s="183"/>
      <c r="J801" s="269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2"/>
      <c r="P801" s="162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321</v>
      </c>
      <c r="G802" s="365"/>
      <c r="H802" s="648" t="s">
        <v>46</v>
      </c>
      <c r="I802" s="165"/>
      <c r="J802" s="612">
        <v>0</v>
      </c>
      <c r="K802" s="166">
        <f>IF(I802&gt;0,J802*100/I802,0)</f>
        <v>0</v>
      </c>
      <c r="L802" s="166"/>
      <c r="M802" s="166"/>
      <c r="N802" s="166"/>
      <c r="O802" s="166"/>
      <c r="P802" s="166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5"/>
      <c r="H803" s="648" t="s">
        <v>34</v>
      </c>
      <c r="I803" s="165"/>
      <c r="J803" s="612">
        <v>0</v>
      </c>
      <c r="K803" s="166"/>
      <c r="L803" s="166"/>
      <c r="M803" s="166"/>
      <c r="N803" s="166"/>
      <c r="O803" s="166"/>
      <c r="P803" s="166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322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91" t="s">
        <v>17</v>
      </c>
      <c r="E805" s="887"/>
      <c r="F805" s="887"/>
      <c r="G805" s="598"/>
      <c r="H805" s="641" t="s">
        <v>12</v>
      </c>
      <c r="I805" s="612"/>
      <c r="J805" s="612"/>
      <c r="K805" s="92"/>
      <c r="L805" s="642">
        <f>L806+L807</f>
        <v>0</v>
      </c>
      <c r="M805" s="642">
        <f>M806+M807</f>
        <v>0</v>
      </c>
      <c r="N805" s="642">
        <f>N806+N807</f>
        <v>0</v>
      </c>
      <c r="O805" s="642">
        <f t="shared" ref="O805:O810" si="110">IF(L805&gt;0,N805*100/L805,0)</f>
        <v>0</v>
      </c>
      <c r="P805" s="642">
        <f t="shared" ref="P805:P810" si="11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184</v>
      </c>
      <c r="F806" s="754"/>
      <c r="G806" s="598"/>
      <c r="H806" s="164" t="s">
        <v>12</v>
      </c>
      <c r="I806" s="612"/>
      <c r="J806" s="612"/>
      <c r="K806" s="92"/>
      <c r="L806" s="92">
        <f t="shared" ref="L806:N807" si="112">L809+L816</f>
        <v>0</v>
      </c>
      <c r="M806" s="92">
        <f t="shared" si="112"/>
        <v>0</v>
      </c>
      <c r="N806" s="92">
        <f t="shared" si="112"/>
        <v>0</v>
      </c>
      <c r="O806" s="92">
        <f t="shared" si="110"/>
        <v>0</v>
      </c>
      <c r="P806" s="92">
        <f t="shared" si="11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185</v>
      </c>
      <c r="F807" s="754"/>
      <c r="G807" s="598"/>
      <c r="H807" s="164" t="s">
        <v>12</v>
      </c>
      <c r="I807" s="612"/>
      <c r="J807" s="612"/>
      <c r="K807" s="92"/>
      <c r="L807" s="92">
        <f t="shared" si="112"/>
        <v>0</v>
      </c>
      <c r="M807" s="92">
        <f t="shared" si="112"/>
        <v>0</v>
      </c>
      <c r="N807" s="92">
        <f t="shared" si="112"/>
        <v>0</v>
      </c>
      <c r="O807" s="92">
        <f t="shared" si="110"/>
        <v>0</v>
      </c>
      <c r="P807" s="92">
        <f t="shared" si="11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912" t="s">
        <v>20</v>
      </c>
      <c r="E808" s="887"/>
      <c r="F808" s="887"/>
      <c r="G808" s="598"/>
      <c r="H808" s="641" t="s">
        <v>12</v>
      </c>
      <c r="I808" s="165"/>
      <c r="J808" s="165"/>
      <c r="K808" s="166"/>
      <c r="L808" s="642">
        <f>L809+L810</f>
        <v>0</v>
      </c>
      <c r="M808" s="642">
        <f>M809+M810</f>
        <v>0</v>
      </c>
      <c r="N808" s="642">
        <f>N809+N810</f>
        <v>0</v>
      </c>
      <c r="O808" s="642">
        <f t="shared" si="110"/>
        <v>0</v>
      </c>
      <c r="P808" s="642">
        <f t="shared" si="11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184</v>
      </c>
      <c r="F809" s="754"/>
      <c r="G809" s="598"/>
      <c r="H809" s="164" t="s">
        <v>12</v>
      </c>
      <c r="I809" s="612"/>
      <c r="J809" s="612"/>
      <c r="K809" s="92"/>
      <c r="L809" s="92">
        <v>0</v>
      </c>
      <c r="M809" s="92">
        <v>0</v>
      </c>
      <c r="N809" s="92">
        <v>0</v>
      </c>
      <c r="O809" s="92">
        <f t="shared" si="110"/>
        <v>0</v>
      </c>
      <c r="P809" s="92">
        <f t="shared" si="11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185</v>
      </c>
      <c r="F810" s="754"/>
      <c r="G810" s="598"/>
      <c r="H810" s="164" t="s">
        <v>12</v>
      </c>
      <c r="I810" s="612"/>
      <c r="J810" s="612"/>
      <c r="K810" s="92"/>
      <c r="L810" s="92">
        <v>0</v>
      </c>
      <c r="M810" s="92">
        <v>0</v>
      </c>
      <c r="N810" s="92">
        <f>N811+N812+N813+N814</f>
        <v>0</v>
      </c>
      <c r="O810" s="92">
        <f t="shared" si="110"/>
        <v>0</v>
      </c>
      <c r="P810" s="92">
        <f t="shared" si="11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186</v>
      </c>
      <c r="G811" s="598"/>
      <c r="H811" s="164" t="s">
        <v>12</v>
      </c>
      <c r="I811" s="612"/>
      <c r="J811" s="612"/>
      <c r="K811" s="92"/>
      <c r="L811" s="92"/>
      <c r="M811" s="92"/>
      <c r="N811" s="92"/>
      <c r="O811" s="92"/>
      <c r="P811" s="92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187</v>
      </c>
      <c r="G812" s="598"/>
      <c r="H812" s="164" t="s">
        <v>12</v>
      </c>
      <c r="I812" s="612"/>
      <c r="J812" s="612"/>
      <c r="K812" s="92"/>
      <c r="L812" s="92"/>
      <c r="M812" s="92"/>
      <c r="N812" s="92"/>
      <c r="O812" s="92"/>
      <c r="P812" s="92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188</v>
      </c>
      <c r="G813" s="598"/>
      <c r="H813" s="164" t="s">
        <v>12</v>
      </c>
      <c r="I813" s="612"/>
      <c r="J813" s="612"/>
      <c r="K813" s="92"/>
      <c r="L813" s="92"/>
      <c r="M813" s="92"/>
      <c r="N813" s="92"/>
      <c r="O813" s="92"/>
      <c r="P813" s="92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189</v>
      </c>
      <c r="G814" s="598"/>
      <c r="H814" s="164" t="s">
        <v>12</v>
      </c>
      <c r="I814" s="612"/>
      <c r="J814" s="612"/>
      <c r="K814" s="92"/>
      <c r="L814" s="92"/>
      <c r="M814" s="92"/>
      <c r="N814" s="92"/>
      <c r="O814" s="92"/>
      <c r="P814" s="92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912" t="s">
        <v>21</v>
      </c>
      <c r="E815" s="887"/>
      <c r="F815" s="887"/>
      <c r="G815" s="598"/>
      <c r="H815" s="778" t="s">
        <v>12</v>
      </c>
      <c r="I815" s="165"/>
      <c r="J815" s="165"/>
      <c r="K815" s="166"/>
      <c r="L815" s="642">
        <f>L816+L817</f>
        <v>0</v>
      </c>
      <c r="M815" s="642">
        <f>M816+M817</f>
        <v>0</v>
      </c>
      <c r="N815" s="642">
        <f>N816+N817</f>
        <v>0</v>
      </c>
      <c r="O815" s="642">
        <f>IF(L815&gt;0,N815*100/L815,0)</f>
        <v>0</v>
      </c>
      <c r="P815" s="642">
        <f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4" t="s">
        <v>12</v>
      </c>
      <c r="I816" s="165"/>
      <c r="J816" s="165"/>
      <c r="K816" s="166"/>
      <c r="L816" s="92">
        <v>0</v>
      </c>
      <c r="M816" s="92">
        <v>0</v>
      </c>
      <c r="N816" s="92">
        <v>0</v>
      </c>
      <c r="O816" s="92">
        <f>IF(L816&gt;0,N816*100/L816,0)</f>
        <v>0</v>
      </c>
      <c r="P816" s="92">
        <f>IF(M816&gt;0,N816*100/M816,0)</f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8" t="s">
        <v>12</v>
      </c>
      <c r="I817" s="165"/>
      <c r="J817" s="165"/>
      <c r="K817" s="166"/>
      <c r="L817" s="92">
        <v>0</v>
      </c>
      <c r="M817" s="92">
        <v>0</v>
      </c>
      <c r="N817" s="92">
        <v>0</v>
      </c>
      <c r="O817" s="92">
        <f>IF(L817&gt;0,N817*100/L817,0)</f>
        <v>0</v>
      </c>
      <c r="P817" s="92">
        <f>IF(M817&gt;0,N817*100/M817,0)</f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41" t="s">
        <v>38</v>
      </c>
      <c r="E818" s="646"/>
      <c r="F818" s="646"/>
      <c r="G818" s="647"/>
      <c r="H818" s="365"/>
      <c r="I818" s="165"/>
      <c r="J818" s="165"/>
      <c r="K818" s="166"/>
      <c r="L818" s="166"/>
      <c r="M818" s="166"/>
      <c r="N818" s="166"/>
      <c r="O818" s="166"/>
      <c r="P818" s="166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323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329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30 ก.ย. 66)")</f>
        <v>(ข้อมูล ณ วันที่ 30 ก.ย.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325</v>
      </c>
      <c r="C821" s="758"/>
      <c r="D821" s="570"/>
      <c r="E821" s="758"/>
      <c r="F821" s="758"/>
      <c r="G821" s="188"/>
      <c r="H821" s="618" t="s">
        <v>12</v>
      </c>
      <c r="I821" s="269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69">
        <f ca="1">IFERROR(__xludf.DUMMYFUNCTION("IMPORTRANGE(""https://docs.google.com/spreadsheets/d/19vJNZY_5yjcGF2XGBMNZRCAIB0Kwfpjp8YEOfu-bneM/edit?usp=sharing"",""งานกองทุน!F60"")"),2754626.25)</f>
        <v>2754626.25</v>
      </c>
      <c r="K821" s="497">
        <f t="shared" ref="K821:K828" ca="1" si="113">IF(I821&gt;0,J821*100/I821,0)</f>
        <v>93.208249658837744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8"/>
      <c r="H822" s="618" t="s">
        <v>35</v>
      </c>
      <c r="I822" s="269">
        <f ca="1">IFERROR(__xludf.DUMMYFUNCTION("IMPORTRANGE(""https://docs.google.com/spreadsheets/d/19vJNZY_5yjcGF2XGBMNZRCAIB0Kwfpjp8YEOfu-bneM/edit?usp=sharing"",""งานกองทุน!C60"")"),67)</f>
        <v>67</v>
      </c>
      <c r="J822" s="269">
        <f ca="1">IFERROR(__xludf.DUMMYFUNCTION("IMPORTRANGE(""https://docs.google.com/spreadsheets/d/19vJNZY_5yjcGF2XGBMNZRCAIB0Kwfpjp8YEOfu-bneM/edit?usp=sharing"",""งานกองทุน!E60"")"),67)</f>
        <v>67</v>
      </c>
      <c r="K822" s="497">
        <f t="shared" ca="1" si="113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326</v>
      </c>
      <c r="C823" s="758"/>
      <c r="D823" s="570"/>
      <c r="E823" s="758"/>
      <c r="F823" s="758"/>
      <c r="G823" s="188"/>
      <c r="H823" s="618" t="s">
        <v>12</v>
      </c>
      <c r="I823" s="269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69">
        <f ca="1">IFERROR(__xludf.DUMMYFUNCTION("IMPORTRANGE(""https://docs.google.com/spreadsheets/d/19vJNZY_5yjcGF2XGBMNZRCAIB0Kwfpjp8YEOfu-bneM/edit?usp=sharing"",""งานกองทุน!K60"")"),360167.02)</f>
        <v>360167.02</v>
      </c>
      <c r="K823" s="497">
        <f t="shared" ca="1" si="113"/>
        <v>70.626015378703357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8"/>
      <c r="H824" s="618" t="s">
        <v>35</v>
      </c>
      <c r="I824" s="269">
        <f ca="1">IFERROR(__xludf.DUMMYFUNCTION("IMPORTRANGE(""https://docs.google.com/spreadsheets/d/19vJNZY_5yjcGF2XGBMNZRCAIB0Kwfpjp8YEOfu-bneM/edit?usp=sharing"",""งานกองทุน!H60"")"),22)</f>
        <v>22</v>
      </c>
      <c r="J824" s="269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113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327</v>
      </c>
      <c r="C825" s="758"/>
      <c r="D825" s="570"/>
      <c r="E825" s="758"/>
      <c r="F825" s="758"/>
      <c r="G825" s="188"/>
      <c r="H825" s="618" t="s">
        <v>12</v>
      </c>
      <c r="I825" s="269">
        <f ca="1">IFERROR(__xludf.DUMMYFUNCTION("IMPORTRANGE(""https://docs.google.com/spreadsheets/d/19vJNZY_5yjcGF2XGBMNZRCAIB0Kwfpjp8YEOfu-bneM/edit?usp=sharing"",""งานกองทุน!N60"")"),419854)</f>
        <v>419854</v>
      </c>
      <c r="J825" s="269">
        <f ca="1">IFERROR(__xludf.DUMMYFUNCTION("IMPORTRANGE(""https://docs.google.com/spreadsheets/d/19vJNZY_5yjcGF2XGBMNZRCAIB0Kwfpjp8YEOfu-bneM/edit?usp=sharing"",""งานกองทุน!P60"")"),489221.19)</f>
        <v>489221.19</v>
      </c>
      <c r="K825" s="497">
        <f t="shared" ca="1" si="113"/>
        <v>116.52174089088112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8"/>
      <c r="H826" s="618" t="s">
        <v>35</v>
      </c>
      <c r="I826" s="269">
        <f ca="1">IFERROR(__xludf.DUMMYFUNCTION("IMPORTRANGE(""https://docs.google.com/spreadsheets/d/19vJNZY_5yjcGF2XGBMNZRCAIB0Kwfpjp8YEOfu-bneM/edit?usp=sharing"",""งานกองทุน!M60"")"),247)</f>
        <v>247</v>
      </c>
      <c r="J826" s="269">
        <f ca="1">IFERROR(__xludf.DUMMYFUNCTION("IMPORTRANGE(""https://docs.google.com/spreadsheets/d/19vJNZY_5yjcGF2XGBMNZRCAIB0Kwfpjp8YEOfu-bneM/edit?usp=sharing"",""งานกองทุน!O60"")"),259)</f>
        <v>259</v>
      </c>
      <c r="K826" s="497">
        <f t="shared" ca="1" si="113"/>
        <v>104.8582995951417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328</v>
      </c>
      <c r="C827" s="758"/>
      <c r="D827" s="570"/>
      <c r="E827" s="758"/>
      <c r="F827" s="758"/>
      <c r="G827" s="188"/>
      <c r="H827" s="618" t="s">
        <v>12</v>
      </c>
      <c r="I827" s="269">
        <f ca="1">IFERROR(__xludf.DUMMYFUNCTION("IMPORTRANGE(""https://docs.google.com/spreadsheets/d/19vJNZY_5yjcGF2XGBMNZRCAIB0Kwfpjp8YEOfu-bneM/edit?usp=sharing"",""งานกองทุน!S60"")"),3060000)</f>
        <v>3060000</v>
      </c>
      <c r="J827" s="269">
        <f ca="1">IFERROR(__xludf.DUMMYFUNCTION("IMPORTRANGE(""https://docs.google.com/spreadsheets/d/19vJNZY_5yjcGF2XGBMNZRCAIB0Kwfpjp8YEOfu-bneM/edit?usp=sharing"",""งานกองทุน!U60"")"),2470000)</f>
        <v>2470000</v>
      </c>
      <c r="K827" s="497">
        <f t="shared" ca="1" si="113"/>
        <v>80.718954248366018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837"/>
      <c r="B828" s="744"/>
      <c r="C828" s="744"/>
      <c r="D828" s="743"/>
      <c r="E828" s="744"/>
      <c r="F828" s="744"/>
      <c r="G828" s="838"/>
      <c r="H828" s="839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IFERROR(__xludf.DUMMYFUNCTION("IMPORTRANGE(""https://docs.google.com/spreadsheets/d/19vJNZY_5yjcGF2XGBMNZRCAIB0Kwfpjp8YEOfu-bneM/edit?usp=sharing"",""งานกองทุน!T60"")"),52)</f>
        <v>52</v>
      </c>
      <c r="K828" s="502">
        <f t="shared" ca="1" si="113"/>
        <v>52.525252525252526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2023-11-28T06:39:26Z</dcterms:created>
  <dcterms:modified xsi:type="dcterms:W3CDTF">2023-11-28T08:32:34Z</dcterms:modified>
</cp:coreProperties>
</file>